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투자\"/>
    </mc:Choice>
  </mc:AlternateContent>
  <xr:revisionPtr revIDLastSave="0" documentId="8_{1EF36B6A-6A3B-4E69-BF0C-178B94354AA7}" xr6:coauthVersionLast="47" xr6:coauthVersionMax="47" xr10:uidLastSave="{00000000-0000-0000-0000-000000000000}"/>
  <bookViews>
    <workbookView xWindow="28680" yWindow="-120" windowWidth="29040" windowHeight="15720" xr2:uid="{80DAAB9D-7A5D-4583-ADC9-90C05C887606}"/>
  </bookViews>
  <sheets>
    <sheet name="배당재투자계산기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5" i="1" l="1"/>
  <c r="F51" i="1" l="1" a="1"/>
  <c r="F51" i="1" s="1"/>
  <c r="G51" i="1" s="1"/>
  <c r="F50" i="1" a="1"/>
  <c r="F50" i="1" s="1"/>
  <c r="G50" i="1" s="1"/>
  <c r="F49" i="1" a="1"/>
  <c r="F49" i="1" s="1"/>
  <c r="G49" i="1" s="1"/>
  <c r="F48" i="1" a="1"/>
  <c r="F48" i="1" s="1"/>
  <c r="G48" i="1" s="1"/>
  <c r="F47" i="1" a="1"/>
  <c r="F47" i="1" s="1"/>
  <c r="G47" i="1" s="1"/>
  <c r="F46" i="1" a="1"/>
  <c r="F46" i="1" s="1"/>
  <c r="G46" i="1" s="1"/>
  <c r="F45" i="1" a="1"/>
  <c r="F45" i="1" s="1"/>
  <c r="G45" i="1" s="1"/>
  <c r="F44" i="1" a="1"/>
  <c r="F44" i="1" s="1"/>
  <c r="G44" i="1" s="1"/>
  <c r="F43" i="1" a="1"/>
  <c r="F43" i="1" s="1"/>
  <c r="G43" i="1" s="1"/>
  <c r="F41" i="1" a="1"/>
  <c r="F41" i="1" s="1"/>
  <c r="G41" i="1" s="1"/>
  <c r="F40" i="1" a="1"/>
  <c r="F40" i="1" s="1"/>
  <c r="G40" i="1" s="1"/>
  <c r="F39" i="1" a="1"/>
  <c r="F39" i="1" s="1"/>
  <c r="G39" i="1" s="1"/>
  <c r="F38" i="1" a="1"/>
  <c r="F38" i="1" s="1"/>
  <c r="G38" i="1" s="1"/>
  <c r="F37" i="1" a="1"/>
  <c r="F37" i="1" s="1"/>
  <c r="G37" i="1" s="1"/>
  <c r="G36" i="1"/>
  <c r="G35" i="1"/>
  <c r="G34" i="1"/>
  <c r="G33" i="1"/>
  <c r="G32" i="1"/>
  <c r="G31" i="1"/>
  <c r="G30" i="1"/>
  <c r="G29" i="1"/>
  <c r="A29" i="1"/>
  <c r="B4" i="1" s="1"/>
  <c r="I28" i="1"/>
  <c r="G28" i="1"/>
  <c r="A28" i="1"/>
  <c r="G27" i="1"/>
  <c r="G26" i="1"/>
  <c r="A26" i="1"/>
  <c r="G25" i="1"/>
  <c r="G24" i="1"/>
  <c r="F23" i="1"/>
  <c r="G23" i="1" s="1"/>
  <c r="G22" i="1"/>
  <c r="G21" i="1"/>
  <c r="R18" i="1"/>
  <c r="R19" i="1" s="1"/>
  <c r="R20" i="1" s="1"/>
  <c r="R21" i="1" s="1"/>
  <c r="R22" i="1" s="1"/>
  <c r="R23" i="1" s="1"/>
  <c r="R24" i="1" s="1"/>
  <c r="R25" i="1" s="1"/>
  <c r="R26" i="1" s="1"/>
  <c r="R27" i="1" s="1"/>
  <c r="R28" i="1" s="1"/>
  <c r="R29" i="1" s="1"/>
  <c r="R30" i="1" s="1"/>
  <c r="R31" i="1" s="1"/>
  <c r="R32" i="1" s="1"/>
  <c r="R33" i="1" s="1"/>
  <c r="R34" i="1" s="1"/>
  <c r="R35" i="1" s="1"/>
  <c r="R36" i="1" s="1"/>
  <c r="R37" i="1" s="1"/>
  <c r="R38" i="1" s="1"/>
  <c r="R39" i="1" s="1"/>
  <c r="R40" i="1" s="1"/>
  <c r="R41" i="1" s="1"/>
  <c r="E18" i="1"/>
  <c r="D18" i="1" a="1"/>
  <c r="D18" i="1" s="1"/>
  <c r="Y17" i="1"/>
  <c r="Q17" i="1"/>
  <c r="T17" i="1" s="1"/>
  <c r="O17" i="1"/>
  <c r="P17" i="1" s="1"/>
  <c r="N18" i="1" s="1"/>
  <c r="D16" i="1" a="1"/>
  <c r="D16" i="1" s="1"/>
  <c r="Y14" i="1"/>
  <c r="X13" i="1"/>
  <c r="W13" i="1"/>
  <c r="V13" i="1"/>
  <c r="U13" i="1"/>
  <c r="Y13" i="1" s="1"/>
  <c r="B11" i="1"/>
  <c r="H46" i="1" l="1"/>
  <c r="F18" i="1"/>
  <c r="G18" i="1" s="1"/>
  <c r="B8" i="1" s="1"/>
  <c r="H37" i="1"/>
  <c r="H48" i="1"/>
  <c r="H38" i="1"/>
  <c r="H49" i="1"/>
  <c r="H44" i="1"/>
  <c r="H47" i="1"/>
  <c r="H40" i="1"/>
  <c r="H45" i="1"/>
  <c r="H39" i="1"/>
  <c r="V18" i="1"/>
  <c r="Q18" i="1"/>
  <c r="T18" i="1" s="1"/>
  <c r="P18" i="1"/>
  <c r="B12" i="1"/>
  <c r="H51" i="1"/>
  <c r="H43" i="1"/>
  <c r="B5" i="1"/>
  <c r="B6" i="1" s="1"/>
  <c r="H41" i="1"/>
  <c r="H50" i="1"/>
  <c r="H18" i="1" l="1"/>
  <c r="I18" i="1" s="1"/>
  <c r="N19" i="1"/>
  <c r="Q19" i="1" s="1"/>
  <c r="T19" i="1" s="1"/>
  <c r="B10" i="1"/>
  <c r="B14" i="1"/>
  <c r="B9" i="1"/>
  <c r="B7" i="1"/>
  <c r="B13" i="1"/>
  <c r="W18" i="1"/>
  <c r="X18" i="1" s="1"/>
  <c r="U19" i="1" l="1"/>
  <c r="V19" i="1" s="1"/>
  <c r="W19" i="1" s="1"/>
  <c r="X19" i="1" s="1"/>
  <c r="U20" i="1" s="1"/>
  <c r="V20" i="1" s="1"/>
  <c r="W20" i="1" s="1"/>
  <c r="P19" i="1"/>
  <c r="N20" i="1" s="1"/>
  <c r="Q20" i="1" s="1"/>
  <c r="T20" i="1" s="1"/>
  <c r="P20" i="1"/>
  <c r="Y18" i="1"/>
  <c r="N21" i="1" l="1"/>
  <c r="P21" i="1" s="1"/>
  <c r="X20" i="1"/>
  <c r="Y20" i="1"/>
  <c r="Y19" i="1"/>
  <c r="Q21" i="1" l="1"/>
  <c r="T21" i="1" s="1"/>
  <c r="U21" i="1"/>
  <c r="V21" i="1" s="1"/>
  <c r="W21" i="1" s="1"/>
  <c r="X21" i="1" s="1"/>
  <c r="N22" i="1"/>
  <c r="Y21" i="1"/>
  <c r="Q22" i="1"/>
  <c r="T22" i="1" s="1"/>
  <c r="P22" i="1"/>
  <c r="U22" i="1"/>
  <c r="V22" i="1" s="1"/>
  <c r="N23" i="1" l="1"/>
  <c r="W22" i="1"/>
  <c r="X22" i="1" s="1"/>
  <c r="Q23" i="1"/>
  <c r="T23" i="1" s="1"/>
  <c r="P23" i="1"/>
  <c r="N24" i="1" s="1"/>
  <c r="U23" i="1"/>
  <c r="V23" i="1"/>
  <c r="W23" i="1" s="1"/>
  <c r="X23" i="1" s="1"/>
  <c r="Y22" i="1" l="1"/>
  <c r="Y23" i="1"/>
  <c r="Q24" i="1"/>
  <c r="T24" i="1" s="1"/>
  <c r="P24" i="1"/>
  <c r="U24" i="1"/>
  <c r="N25" i="1" l="1"/>
  <c r="V24" i="1"/>
  <c r="W24" i="1" s="1"/>
  <c r="X24" i="1" s="1"/>
  <c r="Q25" i="1"/>
  <c r="T25" i="1" s="1"/>
  <c r="P25" i="1"/>
  <c r="U25" i="1"/>
  <c r="V25" i="1"/>
  <c r="W25" i="1" s="1"/>
  <c r="X25" i="1" s="1"/>
  <c r="N26" i="1" l="1"/>
  <c r="Q26" i="1"/>
  <c r="P26" i="1"/>
  <c r="N27" i="1" s="1"/>
  <c r="U26" i="1"/>
  <c r="Y25" i="1"/>
  <c r="Y24" i="1"/>
  <c r="V26" i="1" l="1"/>
  <c r="W26" i="1" s="1"/>
  <c r="X26" i="1" s="1"/>
  <c r="U27" i="1" s="1"/>
  <c r="V27" i="1" s="1"/>
  <c r="W27" i="1" s="1"/>
  <c r="X27" i="1" s="1"/>
  <c r="P27" i="1"/>
  <c r="Q27" i="1"/>
  <c r="T27" i="1" s="1"/>
  <c r="T26" i="1"/>
  <c r="N15" i="1"/>
  <c r="N28" i="1" l="1"/>
  <c r="Y27" i="1"/>
  <c r="Y26" i="1"/>
  <c r="Q28" i="1" l="1"/>
  <c r="T28" i="1" s="1"/>
  <c r="P28" i="1"/>
  <c r="N29" i="1" s="1"/>
  <c r="U28" i="1"/>
  <c r="V28" i="1" l="1"/>
  <c r="W28" i="1" s="1"/>
  <c r="X28" i="1" s="1"/>
  <c r="U29" i="1" s="1"/>
  <c r="Q29" i="1"/>
  <c r="T29" i="1" s="1"/>
  <c r="P29" i="1"/>
  <c r="N30" i="1" l="1"/>
  <c r="V29" i="1"/>
  <c r="W29" i="1" s="1"/>
  <c r="X29" i="1" s="1"/>
  <c r="U30" i="1" s="1"/>
  <c r="V30" i="1" s="1"/>
  <c r="W30" i="1" s="1"/>
  <c r="X30" i="1" s="1"/>
  <c r="P30" i="1"/>
  <c r="Q30" i="1"/>
  <c r="T30" i="1" s="1"/>
  <c r="Y28" i="1"/>
  <c r="N31" i="1" l="1"/>
  <c r="Y30" i="1"/>
  <c r="Y29" i="1"/>
  <c r="U31" i="1" l="1"/>
  <c r="P31" i="1"/>
  <c r="Q31" i="1"/>
  <c r="T31" i="1" s="1"/>
  <c r="N32" i="1" l="1"/>
  <c r="V31" i="1"/>
  <c r="W31" i="1" s="1"/>
  <c r="X31" i="1" s="1"/>
  <c r="Y31" i="1" l="1"/>
  <c r="Q32" i="1"/>
  <c r="T32" i="1" s="1"/>
  <c r="U32" i="1"/>
  <c r="P32" i="1"/>
  <c r="N33" i="1" l="1"/>
  <c r="Q33" i="1" s="1"/>
  <c r="T33" i="1" s="1"/>
  <c r="V32" i="1"/>
  <c r="W32" i="1" s="1"/>
  <c r="X32" i="1" s="1"/>
  <c r="U33" i="1" s="1"/>
  <c r="P33" i="1" l="1"/>
  <c r="N34" i="1" s="1"/>
  <c r="V33" i="1"/>
  <c r="W33" i="1" s="1"/>
  <c r="X33" i="1" s="1"/>
  <c r="U34" i="1" s="1"/>
  <c r="V34" i="1" s="1"/>
  <c r="W34" i="1" s="1"/>
  <c r="X34" i="1" s="1"/>
  <c r="Y32" i="1"/>
  <c r="Q34" i="1"/>
  <c r="T34" i="1" s="1"/>
  <c r="P34" i="1"/>
  <c r="N35" i="1" s="1"/>
  <c r="U35" i="1" l="1"/>
  <c r="Q35" i="1"/>
  <c r="T35" i="1" s="1"/>
  <c r="P35" i="1"/>
  <c r="N36" i="1" s="1"/>
  <c r="Y34" i="1"/>
  <c r="Y33" i="1"/>
  <c r="P36" i="1" l="1"/>
  <c r="Q36" i="1"/>
  <c r="T36" i="1" s="1"/>
  <c r="V35" i="1"/>
  <c r="W35" i="1" s="1"/>
  <c r="X35" i="1" s="1"/>
  <c r="U36" i="1" s="1"/>
  <c r="V36" i="1" l="1"/>
  <c r="W36" i="1" s="1"/>
  <c r="X36" i="1" s="1"/>
  <c r="N37" i="1"/>
  <c r="Y35" i="1"/>
  <c r="U37" i="1" l="1"/>
  <c r="V37" i="1"/>
  <c r="W37" i="1" s="1"/>
  <c r="X37" i="1" s="1"/>
  <c r="P37" i="1"/>
  <c r="Q37" i="1"/>
  <c r="T37" i="1" s="1"/>
  <c r="Y36" i="1"/>
  <c r="N38" i="1" l="1"/>
  <c r="Y37" i="1"/>
  <c r="Q38" i="1" l="1"/>
  <c r="T38" i="1" s="1"/>
  <c r="U38" i="1"/>
  <c r="P38" i="1"/>
  <c r="N39" i="1" s="1"/>
  <c r="P39" i="1" l="1"/>
  <c r="Q39" i="1"/>
  <c r="T39" i="1" s="1"/>
  <c r="V38" i="1"/>
  <c r="W38" i="1" s="1"/>
  <c r="X38" i="1" s="1"/>
  <c r="U39" i="1" s="1"/>
  <c r="V39" i="1" l="1"/>
  <c r="W39" i="1" s="1"/>
  <c r="X39" i="1" s="1"/>
  <c r="Y38" i="1"/>
  <c r="N40" i="1"/>
  <c r="Q40" i="1" l="1"/>
  <c r="T40" i="1" s="1"/>
  <c r="P40" i="1"/>
  <c r="U40" i="1"/>
  <c r="V40" i="1"/>
  <c r="W40" i="1" s="1"/>
  <c r="X40" i="1" s="1"/>
  <c r="Y39" i="1"/>
  <c r="N41" i="1" l="1"/>
  <c r="Y40" i="1"/>
  <c r="P41" i="1"/>
  <c r="U41" i="1"/>
  <c r="Q41" i="1"/>
  <c r="T41" i="1" s="1"/>
  <c r="V41" i="1" l="1"/>
  <c r="W41" i="1" s="1"/>
  <c r="X41" i="1" s="1"/>
  <c r="V45" i="1" s="1" a="1"/>
  <c r="U143" i="1" l="1"/>
  <c r="U131" i="1"/>
  <c r="U119" i="1"/>
  <c r="U107" i="1"/>
  <c r="U95" i="1"/>
  <c r="U83" i="1"/>
  <c r="U71" i="1"/>
  <c r="U59" i="1"/>
  <c r="U142" i="1"/>
  <c r="U130" i="1"/>
  <c r="U118" i="1"/>
  <c r="U106" i="1"/>
  <c r="U94" i="1"/>
  <c r="U82" i="1"/>
  <c r="U70" i="1"/>
  <c r="U58" i="1"/>
  <c r="U50" i="1"/>
  <c r="U137" i="1"/>
  <c r="U101" i="1"/>
  <c r="U77" i="1"/>
  <c r="U53" i="1"/>
  <c r="U136" i="1"/>
  <c r="U112" i="1"/>
  <c r="U100" i="1"/>
  <c r="U141" i="1"/>
  <c r="U129" i="1"/>
  <c r="U117" i="1"/>
  <c r="U105" i="1"/>
  <c r="U93" i="1"/>
  <c r="U81" i="1"/>
  <c r="U69" i="1"/>
  <c r="U57" i="1"/>
  <c r="V45" i="1"/>
  <c r="U140" i="1"/>
  <c r="U128" i="1"/>
  <c r="U116" i="1"/>
  <c r="U104" i="1"/>
  <c r="U92" i="1"/>
  <c r="U80" i="1"/>
  <c r="U68" i="1"/>
  <c r="U56" i="1"/>
  <c r="U125" i="1"/>
  <c r="U113" i="1"/>
  <c r="U89" i="1"/>
  <c r="U49" i="1"/>
  <c r="U139" i="1"/>
  <c r="U127" i="1"/>
  <c r="U115" i="1"/>
  <c r="U103" i="1"/>
  <c r="U91" i="1"/>
  <c r="U79" i="1"/>
  <c r="U67" i="1"/>
  <c r="U55" i="1"/>
  <c r="U47" i="1"/>
  <c r="U138" i="1"/>
  <c r="U126" i="1"/>
  <c r="U114" i="1"/>
  <c r="U102" i="1"/>
  <c r="U90" i="1"/>
  <c r="U78" i="1"/>
  <c r="U66" i="1"/>
  <c r="U54" i="1"/>
  <c r="U65" i="1"/>
  <c r="U135" i="1"/>
  <c r="U108" i="1"/>
  <c r="U74" i="1"/>
  <c r="U123" i="1"/>
  <c r="U62" i="1"/>
  <c r="U87" i="1"/>
  <c r="U120" i="1"/>
  <c r="U85" i="1"/>
  <c r="U52" i="1"/>
  <c r="U111" i="1"/>
  <c r="U51" i="1"/>
  <c r="U134" i="1"/>
  <c r="U99" i="1"/>
  <c r="U73" i="1"/>
  <c r="U133" i="1"/>
  <c r="U98" i="1"/>
  <c r="U72" i="1"/>
  <c r="U132" i="1"/>
  <c r="U97" i="1"/>
  <c r="U64" i="1"/>
  <c r="U124" i="1"/>
  <c r="U96" i="1"/>
  <c r="U63" i="1"/>
  <c r="U88" i="1"/>
  <c r="U122" i="1"/>
  <c r="U61" i="1"/>
  <c r="U121" i="1"/>
  <c r="U86" i="1"/>
  <c r="U60" i="1"/>
  <c r="U48" i="1"/>
  <c r="U84" i="1"/>
  <c r="U110" i="1"/>
  <c r="U76" i="1"/>
  <c r="U109" i="1"/>
  <c r="U75" i="1"/>
  <c r="Y41" i="1"/>
  <c r="U45" i="1" l="1"/>
  <c r="U4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백 현정</author>
    <author>백현정</author>
  </authors>
  <commentList>
    <comment ref="D3" authorId="0" shapeId="0" xr:uid="{603FB223-EE36-40D8-85B8-7BB7DC0097F3}">
      <text>
        <r>
          <rPr>
            <sz val="9"/>
            <color indexed="81"/>
            <rFont val="돋움"/>
            <family val="3"/>
            <charset val="129"/>
          </rPr>
          <t>배당락일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sz val="9"/>
            <color indexed="81"/>
            <rFont val="돋움"/>
            <family val="3"/>
            <charset val="129"/>
          </rPr>
          <t>배당락일</t>
        </r>
        <r>
          <rPr>
            <sz val="9"/>
            <color indexed="81"/>
            <rFont val="Tahoma"/>
            <family val="2"/>
          </rPr>
          <t xml:space="preserve"> 1</t>
        </r>
        <r>
          <rPr>
            <sz val="9"/>
            <color indexed="81"/>
            <rFont val="돋움"/>
            <family val="3"/>
            <charset val="129"/>
          </rPr>
          <t>일전에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매수해야함</t>
        </r>
      </text>
    </comment>
    <comment ref="E3" authorId="0" shapeId="0" xr:uid="{44C098FE-34F7-4748-87AA-3F3E57211548}">
      <text>
        <r>
          <rPr>
            <sz val="9"/>
            <color indexed="81"/>
            <rFont val="돋움"/>
            <family val="3"/>
            <charset val="129"/>
          </rPr>
          <t>배당락일로부터</t>
        </r>
        <r>
          <rPr>
            <sz val="9"/>
            <color indexed="81"/>
            <rFont val="Tahoma"/>
            <family val="2"/>
          </rPr>
          <t xml:space="preserve"> 5</t>
        </r>
        <r>
          <rPr>
            <sz val="9"/>
            <color indexed="81"/>
            <rFont val="돋움"/>
            <family val="3"/>
            <charset val="129"/>
          </rPr>
          <t>일뒤에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줌</t>
        </r>
      </text>
    </comment>
    <comment ref="F3" authorId="0" shapeId="0" xr:uid="{817B970B-2997-49D0-9BB3-61B86D3B5C16}">
      <text>
        <r>
          <rPr>
            <sz val="9"/>
            <color indexed="81"/>
            <rFont val="돋움"/>
            <family val="3"/>
            <charset val="129"/>
          </rPr>
          <t>배당락일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sz val="9"/>
            <color indexed="81"/>
            <rFont val="돋움"/>
            <family val="3"/>
            <charset val="129"/>
          </rPr>
          <t>배당락일</t>
        </r>
        <r>
          <rPr>
            <sz val="9"/>
            <color indexed="81"/>
            <rFont val="Tahoma"/>
            <family val="2"/>
          </rPr>
          <t xml:space="preserve"> 1</t>
        </r>
        <r>
          <rPr>
            <sz val="9"/>
            <color indexed="81"/>
            <rFont val="돋움"/>
            <family val="3"/>
            <charset val="129"/>
          </rPr>
          <t>일전에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매수해야함</t>
        </r>
      </text>
    </comment>
    <comment ref="G3" authorId="0" shapeId="0" xr:uid="{F5DCDB8B-DDF8-428F-8E74-5D2871FEEAAC}">
      <text>
        <r>
          <rPr>
            <sz val="9"/>
            <color indexed="81"/>
            <rFont val="돋움"/>
            <family val="3"/>
            <charset val="129"/>
          </rPr>
          <t>배당락일로부터</t>
        </r>
        <r>
          <rPr>
            <sz val="9"/>
            <color indexed="81"/>
            <rFont val="Tahoma"/>
            <family val="2"/>
          </rPr>
          <t xml:space="preserve"> 5</t>
        </r>
        <r>
          <rPr>
            <sz val="9"/>
            <color indexed="81"/>
            <rFont val="돋움"/>
            <family val="3"/>
            <charset val="129"/>
          </rPr>
          <t>일뒤에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줌</t>
        </r>
      </text>
    </comment>
    <comment ref="H3" authorId="0" shapeId="0" xr:uid="{2D670A52-A347-4A74-B1D9-A748E4DED901}">
      <text>
        <r>
          <rPr>
            <sz val="9"/>
            <color indexed="81"/>
            <rFont val="돋움"/>
            <family val="3"/>
            <charset val="129"/>
          </rPr>
          <t>배당락일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sz val="9"/>
            <color indexed="81"/>
            <rFont val="돋움"/>
            <family val="3"/>
            <charset val="129"/>
          </rPr>
          <t>배당락일</t>
        </r>
        <r>
          <rPr>
            <sz val="9"/>
            <color indexed="81"/>
            <rFont val="Tahoma"/>
            <family val="2"/>
          </rPr>
          <t xml:space="preserve"> 1</t>
        </r>
        <r>
          <rPr>
            <sz val="9"/>
            <color indexed="81"/>
            <rFont val="돋움"/>
            <family val="3"/>
            <charset val="129"/>
          </rPr>
          <t>일전에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매수해야함</t>
        </r>
      </text>
    </comment>
    <comment ref="I3" authorId="0" shapeId="0" xr:uid="{BE3E5CB4-8247-4F1C-96DC-7A79543422AE}">
      <text>
        <r>
          <rPr>
            <sz val="9"/>
            <color indexed="81"/>
            <rFont val="돋움"/>
            <family val="3"/>
            <charset val="129"/>
          </rPr>
          <t>배당락일로부터</t>
        </r>
        <r>
          <rPr>
            <sz val="9"/>
            <color indexed="81"/>
            <rFont val="Tahoma"/>
            <family val="2"/>
          </rPr>
          <t xml:space="preserve"> 5</t>
        </r>
        <r>
          <rPr>
            <sz val="9"/>
            <color indexed="81"/>
            <rFont val="돋움"/>
            <family val="3"/>
            <charset val="129"/>
          </rPr>
          <t>일뒤에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줌</t>
        </r>
      </text>
    </comment>
    <comment ref="T24" authorId="1" shapeId="0" xr:uid="{15B64013-708A-4589-BC45-C504A1E61A5F}">
      <text>
        <r>
          <rPr>
            <b/>
            <sz val="9"/>
            <color indexed="81"/>
            <rFont val="돋움"/>
            <family val="3"/>
            <charset val="129"/>
          </rPr>
          <t>월배당</t>
        </r>
        <r>
          <rPr>
            <b/>
            <sz val="9"/>
            <color indexed="81"/>
            <rFont val="Tahoma"/>
            <family val="2"/>
          </rPr>
          <t xml:space="preserve"> 50</t>
        </r>
        <r>
          <rPr>
            <b/>
            <sz val="9"/>
            <color indexed="81"/>
            <rFont val="돋움"/>
            <family val="3"/>
            <charset val="129"/>
          </rPr>
          <t>만원이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나온다</t>
        </r>
      </text>
    </comment>
    <comment ref="T27" authorId="1" shapeId="0" xr:uid="{CEE84F4B-B209-49DE-8E12-8E141DC87211}">
      <text>
        <r>
          <rPr>
            <sz val="9"/>
            <color indexed="81"/>
            <rFont val="돋움"/>
            <family val="3"/>
            <charset val="129"/>
          </rPr>
          <t>월배당</t>
        </r>
        <r>
          <rPr>
            <sz val="9"/>
            <color indexed="81"/>
            <rFont val="Tahoma"/>
            <family val="2"/>
          </rPr>
          <t xml:space="preserve"> 100</t>
        </r>
        <r>
          <rPr>
            <sz val="9"/>
            <color indexed="81"/>
            <rFont val="돋움"/>
            <family val="3"/>
            <charset val="129"/>
          </rPr>
          <t>만원이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나온다</t>
        </r>
      </text>
    </comment>
    <comment ref="Q29" authorId="1" shapeId="0" xr:uid="{7B7C214D-12F2-4CCB-AC6C-2B586AB7EA45}">
      <text>
        <r>
          <rPr>
            <b/>
            <sz val="9"/>
            <color indexed="81"/>
            <rFont val="돋움"/>
            <family val="3"/>
            <charset val="129"/>
          </rPr>
          <t>금융종합소득과세자로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등극한다</t>
        </r>
      </text>
    </comment>
    <comment ref="T32" authorId="1" shapeId="0" xr:uid="{0989A83C-A6A4-4487-B706-98077ADBD464}">
      <text>
        <r>
          <rPr>
            <b/>
            <sz val="9"/>
            <color indexed="81"/>
            <rFont val="돋움"/>
            <family val="3"/>
            <charset val="129"/>
          </rPr>
          <t>경제적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자유</t>
        </r>
        <r>
          <rPr>
            <b/>
            <sz val="9"/>
            <color indexed="81"/>
            <rFont val="Tahoma"/>
            <family val="2"/>
          </rPr>
          <t xml:space="preserve">. </t>
        </r>
        <r>
          <rPr>
            <b/>
            <sz val="9"/>
            <color indexed="81"/>
            <rFont val="돋움"/>
            <family val="3"/>
            <charset val="129"/>
          </rPr>
          <t>배당금만으로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생활이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가능해진다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1"/>
        </ext>
      </extLst>
    </bk>
    <bk>
      <extLst>
        <ext uri="{3e2802c4-a4d2-4d8b-9148-e3be6c30e623}">
          <xlrd:rvb i="4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<sst xmlns="http://schemas.openxmlformats.org/spreadsheetml/2006/main" count="455" uniqueCount="305">
  <si>
    <t>시작일</t>
    <phoneticPr fontId="3" type="noConversion"/>
  </si>
  <si>
    <t>배당락일 히스토리</t>
    <phoneticPr fontId="3" type="noConversion"/>
  </si>
  <si>
    <t>평가일</t>
    <phoneticPr fontId="3" type="noConversion"/>
  </si>
  <si>
    <t>Ex-Div Date</t>
    <phoneticPr fontId="3" type="noConversion"/>
  </si>
  <si>
    <t>Pay Date</t>
    <phoneticPr fontId="3" type="noConversion"/>
  </si>
  <si>
    <t>원금매수</t>
    <phoneticPr fontId="3" type="noConversion"/>
  </si>
  <si>
    <t>배당재투자</t>
    <phoneticPr fontId="3" type="noConversion"/>
  </si>
  <si>
    <t>누적배당금만큼 투자했는지 체크</t>
    <phoneticPr fontId="3" type="noConversion"/>
  </si>
  <si>
    <t>총매수금액</t>
    <phoneticPr fontId="3" type="noConversion"/>
  </si>
  <si>
    <t>증감</t>
    <phoneticPr fontId="3" type="noConversion"/>
  </si>
  <si>
    <t>평가금액</t>
    <phoneticPr fontId="3" type="noConversion"/>
  </si>
  <si>
    <t>배당락일 5일씩 변경되기도 하니 3, 6, 9,12월 초마다 배당락일 확인할 것</t>
    <phoneticPr fontId="3" type="noConversion"/>
  </si>
  <si>
    <t>CAGR</t>
    <phoneticPr fontId="3" type="noConversion"/>
  </si>
  <si>
    <t>누적배당금</t>
    <phoneticPr fontId="3" type="noConversion"/>
  </si>
  <si>
    <t>실제로 입금된 배당금을 더하면 됨</t>
    <phoneticPr fontId="3" type="noConversion"/>
  </si>
  <si>
    <t>Total Return</t>
    <phoneticPr fontId="3" type="noConversion"/>
  </si>
  <si>
    <t>저축(분기)</t>
    <phoneticPr fontId="3" type="noConversion"/>
  </si>
  <si>
    <t>저축중단</t>
    <phoneticPr fontId="3" type="noConversion"/>
  </si>
  <si>
    <t>투자원금</t>
    <phoneticPr fontId="3" type="noConversion"/>
  </si>
  <si>
    <t>현재환율</t>
    <phoneticPr fontId="3" type="noConversion"/>
  </si>
  <si>
    <t>투자연도</t>
    <phoneticPr fontId="3" type="noConversion"/>
  </si>
  <si>
    <t>투자기간</t>
    <phoneticPr fontId="3" type="noConversion"/>
  </si>
  <si>
    <t>기초</t>
    <phoneticPr fontId="3" type="noConversion"/>
  </si>
  <si>
    <t>저축(연간)</t>
    <phoneticPr fontId="3" type="noConversion"/>
  </si>
  <si>
    <t>기말</t>
    <phoneticPr fontId="3" type="noConversion"/>
  </si>
  <si>
    <t>연배당금</t>
    <phoneticPr fontId="3" type="noConversion"/>
  </si>
  <si>
    <t>배당률</t>
    <phoneticPr fontId="3" type="noConversion"/>
  </si>
  <si>
    <t>배당성장률</t>
    <phoneticPr fontId="3" type="noConversion"/>
  </si>
  <si>
    <t>월배당금</t>
    <phoneticPr fontId="3" type="noConversion"/>
  </si>
  <si>
    <t>3월</t>
    <phoneticPr fontId="3" type="noConversion"/>
  </si>
  <si>
    <t>9월</t>
    <phoneticPr fontId="3" type="noConversion"/>
  </si>
  <si>
    <t>12월</t>
    <phoneticPr fontId="3" type="noConversion"/>
  </si>
  <si>
    <t>Universe</t>
    <phoneticPr fontId="3" type="noConversion"/>
  </si>
  <si>
    <t>Ticker</t>
    <phoneticPr fontId="3" type="noConversion"/>
  </si>
  <si>
    <t>종목명(Stock Name)</t>
    <phoneticPr fontId="3" type="noConversion"/>
  </si>
  <si>
    <t>현재가</t>
    <phoneticPr fontId="3" type="noConversion"/>
  </si>
  <si>
    <t>보유주식수</t>
    <phoneticPr fontId="3" type="noConversion"/>
  </si>
  <si>
    <t>평가금액(USD)</t>
    <phoneticPr fontId="3" type="noConversion"/>
  </si>
  <si>
    <t>평가금액(KRW)</t>
    <phoneticPr fontId="3" type="noConversion"/>
  </si>
  <si>
    <t>총 매수금액(KRW)</t>
    <phoneticPr fontId="3" type="noConversion"/>
  </si>
  <si>
    <t>1년차</t>
    <phoneticPr fontId="3" type="noConversion"/>
  </si>
  <si>
    <t>배당성장주</t>
    <phoneticPr fontId="3" type="noConversion"/>
  </si>
  <si>
    <t>SCHD</t>
    <phoneticPr fontId="3" type="noConversion"/>
  </si>
  <si>
    <t>2년차</t>
  </si>
  <si>
    <t>3년차</t>
  </si>
  <si>
    <t>매수구분</t>
    <phoneticPr fontId="3" type="noConversion"/>
  </si>
  <si>
    <t>Ticker</t>
  </si>
  <si>
    <t>매수일</t>
    <phoneticPr fontId="3" type="noConversion"/>
  </si>
  <si>
    <t>매수수량</t>
    <phoneticPr fontId="3" type="noConversion"/>
  </si>
  <si>
    <t>매수단가</t>
    <phoneticPr fontId="3" type="noConversion"/>
  </si>
  <si>
    <t>총 매수금액(USD)</t>
    <phoneticPr fontId="3" type="noConversion"/>
  </si>
  <si>
    <t>4년차</t>
  </si>
  <si>
    <t>SCHD</t>
  </si>
  <si>
    <t>초기 매수</t>
    <phoneticPr fontId="3" type="noConversion"/>
  </si>
  <si>
    <t>5년차</t>
  </si>
  <si>
    <t>7월매수</t>
    <phoneticPr fontId="3" type="noConversion"/>
  </si>
  <si>
    <t>6년차</t>
  </si>
  <si>
    <t>재투자10(80.93$)</t>
    <phoneticPr fontId="3" type="noConversion"/>
  </si>
  <si>
    <t>7년차</t>
  </si>
  <si>
    <t>8월 매수</t>
    <phoneticPr fontId="3" type="noConversion"/>
  </si>
  <si>
    <t>8년차</t>
  </si>
  <si>
    <t>9~10월 매수 100만원(10월분까지 매수)-&gt; 배당락일 2025-09-25 전에 매수하고, 9/30에 배당금 입금되면 재투자하기</t>
    <phoneticPr fontId="3" type="noConversion"/>
  </si>
  <si>
    <t>9년차</t>
  </si>
  <si>
    <t>10년차</t>
  </si>
  <si>
    <t>11월~12월 2개월치 1백만원 동시매수(배당락일 12/11 전 매수)</t>
    <phoneticPr fontId="3" type="noConversion"/>
  </si>
  <si>
    <t>11년차</t>
  </si>
  <si>
    <t>12년차</t>
  </si>
  <si>
    <t>13년차</t>
  </si>
  <si>
    <t>12/16 경 배당금 입금됨 배당 재투자</t>
    <phoneticPr fontId="3" type="noConversion"/>
  </si>
  <si>
    <t>14년차</t>
  </si>
  <si>
    <t>자투리 현금 매수</t>
    <phoneticPr fontId="3" type="noConversion"/>
  </si>
  <si>
    <t>15년차</t>
  </si>
  <si>
    <t>1월매수</t>
    <phoneticPr fontId="3" type="noConversion"/>
  </si>
  <si>
    <t>16년차</t>
  </si>
  <si>
    <t>2월매수</t>
    <phoneticPr fontId="3" type="noConversion"/>
  </si>
  <si>
    <t>17년차</t>
  </si>
  <si>
    <t>18년차</t>
  </si>
  <si>
    <t>3월 배당금 재투자</t>
    <phoneticPr fontId="3" type="noConversion"/>
  </si>
  <si>
    <t>19년차</t>
  </si>
  <si>
    <t>3월~4월분 / 100만원 매수</t>
    <phoneticPr fontId="3" type="noConversion"/>
  </si>
  <si>
    <t>20년차</t>
  </si>
  <si>
    <t>21년차</t>
  </si>
  <si>
    <t>22년차</t>
  </si>
  <si>
    <t>23년차</t>
  </si>
  <si>
    <t>24년차</t>
  </si>
  <si>
    <t>25년차</t>
  </si>
  <si>
    <t>구분</t>
    <phoneticPr fontId="3" type="noConversion"/>
  </si>
  <si>
    <t>회차</t>
    <phoneticPr fontId="3" type="noConversion"/>
  </si>
  <si>
    <t>분기배당금</t>
    <phoneticPr fontId="3" type="noConversion"/>
  </si>
  <si>
    <t>확정</t>
    <phoneticPr fontId="3" type="noConversion"/>
  </si>
  <si>
    <t>1회차</t>
    <phoneticPr fontId="3" type="noConversion"/>
  </si>
  <si>
    <t>확정</t>
  </si>
  <si>
    <t>2회차</t>
    <phoneticPr fontId="3" type="noConversion"/>
  </si>
  <si>
    <t>3회차</t>
  </si>
  <si>
    <t>4회차</t>
  </si>
  <si>
    <t>예상</t>
    <phoneticPr fontId="3" type="noConversion"/>
  </si>
  <si>
    <t>5회차</t>
  </si>
  <si>
    <t>6회차</t>
  </si>
  <si>
    <t>7회차</t>
  </si>
  <si>
    <t>8회차</t>
  </si>
  <si>
    <t>9회차</t>
  </si>
  <si>
    <t>10회차</t>
  </si>
  <si>
    <t>11회차</t>
  </si>
  <si>
    <t>12회차</t>
  </si>
  <si>
    <t>13회차</t>
  </si>
  <si>
    <t>14회차</t>
  </si>
  <si>
    <t>15회차</t>
  </si>
  <si>
    <t>16회차</t>
  </si>
  <si>
    <t>17회차</t>
  </si>
  <si>
    <t>18회차</t>
  </si>
  <si>
    <t>19회차</t>
  </si>
  <si>
    <t>20회차</t>
  </si>
  <si>
    <t>21회차</t>
  </si>
  <si>
    <t>22회차</t>
  </si>
  <si>
    <t>23회차</t>
  </si>
  <si>
    <t>24회차</t>
  </si>
  <si>
    <t>25회차</t>
  </si>
  <si>
    <t>26회차</t>
  </si>
  <si>
    <t>27회차</t>
  </si>
  <si>
    <t>28회차</t>
  </si>
  <si>
    <t>29회차</t>
  </si>
  <si>
    <t>30회차</t>
  </si>
  <si>
    <t>31회차</t>
  </si>
  <si>
    <t>32회차</t>
  </si>
  <si>
    <t>33회차</t>
  </si>
  <si>
    <t>34회차</t>
  </si>
  <si>
    <t>35회차</t>
  </si>
  <si>
    <t>36회차</t>
  </si>
  <si>
    <t>37회차</t>
  </si>
  <si>
    <t>38회차</t>
  </si>
  <si>
    <t>39회차</t>
  </si>
  <si>
    <t>40회차</t>
  </si>
  <si>
    <t>41회차</t>
  </si>
  <si>
    <t>42회차</t>
  </si>
  <si>
    <t>43회차</t>
  </si>
  <si>
    <t>44회차</t>
  </si>
  <si>
    <t>45회차</t>
  </si>
  <si>
    <t>46회차</t>
  </si>
  <si>
    <t>47회차</t>
  </si>
  <si>
    <t>48회차</t>
  </si>
  <si>
    <t>49회차</t>
  </si>
  <si>
    <t>50회차</t>
  </si>
  <si>
    <t>51회차</t>
  </si>
  <si>
    <t>52회차</t>
  </si>
  <si>
    <t>53회차</t>
  </si>
  <si>
    <t>54회차</t>
  </si>
  <si>
    <t>55회차</t>
  </si>
  <si>
    <t>56회차</t>
  </si>
  <si>
    <t>57회차</t>
  </si>
  <si>
    <t>58회차</t>
  </si>
  <si>
    <t>59회차</t>
  </si>
  <si>
    <t>60회차</t>
  </si>
  <si>
    <t>61회차</t>
  </si>
  <si>
    <t>62회차</t>
  </si>
  <si>
    <t>63회차</t>
  </si>
  <si>
    <t>64회차</t>
  </si>
  <si>
    <t>65회차</t>
  </si>
  <si>
    <t>66회차</t>
  </si>
  <si>
    <t>67회차</t>
  </si>
  <si>
    <t>68회차</t>
  </si>
  <si>
    <t>69회차</t>
  </si>
  <si>
    <t>70회차</t>
  </si>
  <si>
    <t>71회차</t>
  </si>
  <si>
    <t>72회차</t>
  </si>
  <si>
    <t>73회차</t>
  </si>
  <si>
    <t>74회차</t>
  </si>
  <si>
    <t>75회차</t>
  </si>
  <si>
    <t>76회차</t>
  </si>
  <si>
    <t>77회차</t>
  </si>
  <si>
    <t>78회차</t>
  </si>
  <si>
    <t>79회차</t>
  </si>
  <si>
    <t>80회차</t>
  </si>
  <si>
    <t>81회차</t>
  </si>
  <si>
    <t>82회차</t>
  </si>
  <si>
    <t>83회차</t>
  </si>
  <si>
    <t>84회차</t>
  </si>
  <si>
    <t>85회차</t>
  </si>
  <si>
    <t>86회차</t>
  </si>
  <si>
    <t>87회차</t>
  </si>
  <si>
    <t>88회차</t>
  </si>
  <si>
    <t>89회차</t>
  </si>
  <si>
    <t>90회차</t>
  </si>
  <si>
    <t>91회차</t>
  </si>
  <si>
    <t>92회차</t>
  </si>
  <si>
    <t>93회차</t>
  </si>
  <si>
    <t>94회차</t>
  </si>
  <si>
    <t>95회차</t>
  </si>
  <si>
    <t>96회차</t>
  </si>
  <si>
    <t>97회차</t>
  </si>
  <si>
    <t>98회차</t>
  </si>
  <si>
    <t>99회차</t>
  </si>
  <si>
    <t>1. 배당 재투자 시뮬레이션</t>
    <phoneticPr fontId="3" type="noConversion"/>
  </si>
  <si>
    <t>2. 실제 배당금 입금 기록</t>
    <phoneticPr fontId="3" type="noConversion"/>
  </si>
  <si>
    <t>SCHD 10년동안 모으기 프로젝트</t>
    <phoneticPr fontId="3" type="noConversion"/>
  </si>
  <si>
    <t>10년차가 되면 원금기준 15% 배당나오는 포트폴리오 완성이 된다!</t>
    <phoneticPr fontId="3" type="noConversion"/>
  </si>
  <si>
    <t>3. 적립 매수 기록</t>
    <phoneticPr fontId="3" type="noConversion"/>
  </si>
  <si>
    <t>4. 투자 요약표</t>
    <phoneticPr fontId="3" type="noConversion"/>
  </si>
  <si>
    <t>5. 누적 배당금 막대차트</t>
    <phoneticPr fontId="3" type="noConversion"/>
  </si>
  <si>
    <t>주가수익률</t>
    <phoneticPr fontId="3" type="noConversion"/>
  </si>
  <si>
    <t>원금대비 배당수익률</t>
    <phoneticPr fontId="3" type="noConversion"/>
  </si>
  <si>
    <t>50%가 넘을때까지 꾸준히 적립!</t>
    <phoneticPr fontId="3" type="noConversion"/>
  </si>
  <si>
    <t>6월</t>
    <phoneticPr fontId="3" type="noConversion"/>
  </si>
  <si>
    <t>202506</t>
  </si>
  <si>
    <t>202509</t>
  </si>
  <si>
    <t>202512</t>
  </si>
  <si>
    <t>202603</t>
  </si>
  <si>
    <t>202606</t>
  </si>
  <si>
    <t>202609</t>
  </si>
  <si>
    <t>202612</t>
  </si>
  <si>
    <t>202703</t>
  </si>
  <si>
    <t>202706</t>
  </si>
  <si>
    <t>202709</t>
  </si>
  <si>
    <t>202712</t>
  </si>
  <si>
    <t>202803</t>
  </si>
  <si>
    <t>202806</t>
  </si>
  <si>
    <t>202809</t>
  </si>
  <si>
    <t>202812</t>
  </si>
  <si>
    <t>202903</t>
  </si>
  <si>
    <t>202906</t>
  </si>
  <si>
    <t>202909</t>
  </si>
  <si>
    <t>202912</t>
  </si>
  <si>
    <t>203003</t>
  </si>
  <si>
    <t>203006</t>
  </si>
  <si>
    <t>203009</t>
  </si>
  <si>
    <t>203012</t>
  </si>
  <si>
    <t>203103</t>
  </si>
  <si>
    <t>203106</t>
  </si>
  <si>
    <t>203109</t>
  </si>
  <si>
    <t>203112</t>
  </si>
  <si>
    <t>203203</t>
  </si>
  <si>
    <t>203206</t>
  </si>
  <si>
    <t>203209</t>
  </si>
  <si>
    <t>203212</t>
  </si>
  <si>
    <t>203303</t>
  </si>
  <si>
    <t>203306</t>
  </si>
  <si>
    <t>203309</t>
  </si>
  <si>
    <t>203312</t>
  </si>
  <si>
    <t>203403</t>
  </si>
  <si>
    <t>203406</t>
  </si>
  <si>
    <t>203409</t>
  </si>
  <si>
    <t>203412</t>
  </si>
  <si>
    <t>203503</t>
  </si>
  <si>
    <t>203506</t>
  </si>
  <si>
    <t>203509</t>
  </si>
  <si>
    <t>203512</t>
  </si>
  <si>
    <t>203603</t>
  </si>
  <si>
    <t>203606</t>
  </si>
  <si>
    <t>203609</t>
  </si>
  <si>
    <t>203612</t>
  </si>
  <si>
    <t>203703</t>
  </si>
  <si>
    <t>203706</t>
  </si>
  <si>
    <t>203709</t>
  </si>
  <si>
    <t>203712</t>
  </si>
  <si>
    <t>203803</t>
  </si>
  <si>
    <t>203806</t>
  </si>
  <si>
    <t>203809</t>
  </si>
  <si>
    <t>203812</t>
  </si>
  <si>
    <t>203903</t>
  </si>
  <si>
    <t>203906</t>
  </si>
  <si>
    <t>203909</t>
  </si>
  <si>
    <t>203912</t>
  </si>
  <si>
    <t>204003</t>
  </si>
  <si>
    <t>204006</t>
  </si>
  <si>
    <t>204009</t>
  </si>
  <si>
    <t>204012</t>
  </si>
  <si>
    <t>204103</t>
  </si>
  <si>
    <t>204106</t>
  </si>
  <si>
    <t>204109</t>
  </si>
  <si>
    <t>204112</t>
  </si>
  <si>
    <t>204203</t>
  </si>
  <si>
    <t>204206</t>
  </si>
  <si>
    <t>204209</t>
  </si>
  <si>
    <t>204212</t>
  </si>
  <si>
    <t>204303</t>
  </si>
  <si>
    <t>204306</t>
  </si>
  <si>
    <t>204309</t>
  </si>
  <si>
    <t>204312</t>
  </si>
  <si>
    <t>204403</t>
  </si>
  <si>
    <t>204406</t>
  </si>
  <si>
    <t>204409</t>
  </si>
  <si>
    <t>204412</t>
  </si>
  <si>
    <t>204503</t>
  </si>
  <si>
    <t>204506</t>
  </si>
  <si>
    <t>204509</t>
  </si>
  <si>
    <t>204512</t>
  </si>
  <si>
    <t>204603</t>
  </si>
  <si>
    <t>204606</t>
  </si>
  <si>
    <t>204609</t>
  </si>
  <si>
    <t>204612</t>
  </si>
  <si>
    <t>204703</t>
  </si>
  <si>
    <t>204706</t>
  </si>
  <si>
    <t>204709</t>
  </si>
  <si>
    <t>204712</t>
  </si>
  <si>
    <t>204803</t>
  </si>
  <si>
    <t>204806</t>
  </si>
  <si>
    <t>204809</t>
  </si>
  <si>
    <t>204812</t>
  </si>
  <si>
    <t>204903</t>
  </si>
  <si>
    <t>204906</t>
  </si>
  <si>
    <t>204909</t>
  </si>
  <si>
    <t>204912</t>
  </si>
  <si>
    <t>YYYYMM</t>
    <phoneticPr fontId="3" type="noConversion"/>
  </si>
  <si>
    <t>비고</t>
    <phoneticPr fontId="3" type="noConversion"/>
  </si>
  <si>
    <t>실제 배당금 입금</t>
    <phoneticPr fontId="3" type="noConversion"/>
  </si>
  <si>
    <t>10,000,000 초기자금 + 10년동안 월 50만원 적립투자 + 배당재투자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</si>
</sst>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26" formatCode="\$#,##0.00_);[Red]\(\$#,##0.00\)"/>
    <numFmt numFmtId="176" formatCode="[Red]#,##0.00%;[Blue]\-#,##0.00%"/>
    <numFmt numFmtId="177" formatCode="0.0%"/>
    <numFmt numFmtId="178" formatCode="_([$$-409]* #,##0.00_);_([$$-409]* \(#,##0.00\);_([$$-409]* &quot;-&quot;??_);_(@_)"/>
    <numFmt numFmtId="179" formatCode="[$£-809]#,##0.00_);[Red]\([$£-809]#,##0.00\)"/>
    <numFmt numFmtId="183" formatCode="0_);[Red]\(0\)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C483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EFFA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2" fillId="0" borderId="1" xfId="0" applyFont="1" applyBorder="1">
      <alignment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1" xfId="0" applyFont="1" applyBorder="1">
      <alignment vertical="center"/>
    </xf>
    <xf numFmtId="41" fontId="6" fillId="0" borderId="1" xfId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14" fontId="2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 vertical="center"/>
    </xf>
    <xf numFmtId="0" fontId="7" fillId="0" borderId="1" xfId="0" applyFont="1" applyBorder="1">
      <alignment vertical="center"/>
    </xf>
    <xf numFmtId="14" fontId="8" fillId="0" borderId="0" xfId="0" applyNumberFormat="1" applyFont="1" applyAlignment="1">
      <alignment horizontal="left" vertical="center"/>
    </xf>
    <xf numFmtId="41" fontId="6" fillId="0" borderId="1" xfId="0" applyNumberFormat="1" applyFont="1" applyBorder="1" applyAlignment="1">
      <alignment horizontal="center" vertical="center"/>
    </xf>
    <xf numFmtId="10" fontId="2" fillId="0" borderId="0" xfId="2" applyNumberFormat="1" applyFont="1" applyBorder="1" applyAlignment="1">
      <alignment horizontal="left" vertical="center" indent="1"/>
    </xf>
    <xf numFmtId="176" fontId="6" fillId="0" borderId="1" xfId="2" applyNumberFormat="1" applyFont="1" applyFill="1" applyBorder="1" applyAlignment="1">
      <alignment horizontal="center" vertical="center"/>
    </xf>
    <xf numFmtId="41" fontId="2" fillId="0" borderId="0" xfId="1" applyFont="1">
      <alignment vertical="center"/>
    </xf>
    <xf numFmtId="177" fontId="6" fillId="0" borderId="1" xfId="2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10" fontId="6" fillId="0" borderId="1" xfId="2" applyNumberFormat="1" applyFont="1" applyFill="1" applyBorder="1" applyAlignment="1">
      <alignment vertical="center"/>
    </xf>
    <xf numFmtId="41" fontId="2" fillId="0" borderId="0" xfId="0" applyNumberFormat="1" applyFont="1" applyAlignment="1">
      <alignment horizontal="left" vertical="center"/>
    </xf>
    <xf numFmtId="43" fontId="2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41" fontId="2" fillId="2" borderId="0" xfId="1" applyFont="1" applyFill="1">
      <alignment vertical="center"/>
    </xf>
    <xf numFmtId="41" fontId="2" fillId="0" borderId="0" xfId="0" applyNumberFormat="1" applyFont="1">
      <alignment vertical="center"/>
    </xf>
    <xf numFmtId="178" fontId="2" fillId="0" borderId="0" xfId="0" applyNumberFormat="1" applyFont="1">
      <alignment vertical="center"/>
    </xf>
    <xf numFmtId="0" fontId="6" fillId="0" borderId="0" xfId="0" applyFont="1">
      <alignment vertical="center"/>
    </xf>
    <xf numFmtId="41" fontId="6" fillId="0" borderId="0" xfId="1" applyFont="1">
      <alignment vertical="center"/>
    </xf>
    <xf numFmtId="9" fontId="9" fillId="0" borderId="2" xfId="2" applyFont="1" applyFill="1" applyBorder="1">
      <alignment vertical="center"/>
    </xf>
    <xf numFmtId="41" fontId="8" fillId="0" borderId="0" xfId="1" applyFont="1">
      <alignment vertical="center"/>
    </xf>
    <xf numFmtId="10" fontId="2" fillId="0" borderId="0" xfId="2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78" fontId="2" fillId="0" borderId="1" xfId="0" applyNumberFormat="1" applyFont="1" applyBorder="1" applyAlignment="1">
      <alignment horizontal="center" vertical="center"/>
    </xf>
    <xf numFmtId="41" fontId="2" fillId="0" borderId="1" xfId="0" applyNumberFormat="1" applyFont="1" applyBorder="1" applyAlignment="1">
      <alignment horizontal="right" vertical="center"/>
    </xf>
    <xf numFmtId="41" fontId="2" fillId="0" borderId="1" xfId="1" applyFont="1" applyFill="1" applyBorder="1" applyAlignment="1">
      <alignment horizontal="center" vertical="center"/>
    </xf>
    <xf numFmtId="41" fontId="2" fillId="0" borderId="1" xfId="0" applyNumberFormat="1" applyFont="1" applyBorder="1" applyAlignment="1">
      <alignment horizontal="center" vertical="center"/>
    </xf>
    <xf numFmtId="179" fontId="2" fillId="0" borderId="0" xfId="0" applyNumberFormat="1" applyFont="1" applyAlignment="1">
      <alignment horizontal="center" vertical="center"/>
    </xf>
    <xf numFmtId="41" fontId="2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 wrapText="1"/>
    </xf>
    <xf numFmtId="26" fontId="2" fillId="2" borderId="0" xfId="0" applyNumberFormat="1" applyFont="1" applyFill="1" applyAlignment="1">
      <alignment vertical="center" wrapText="1"/>
    </xf>
    <xf numFmtId="26" fontId="2" fillId="0" borderId="0" xfId="0" applyNumberFormat="1" applyFont="1" applyAlignment="1">
      <alignment vertical="center" wrapText="1"/>
    </xf>
    <xf numFmtId="41" fontId="6" fillId="2" borderId="0" xfId="1" applyFont="1" applyFill="1" applyBorder="1" applyAlignment="1">
      <alignment vertical="center" wrapText="1"/>
    </xf>
    <xf numFmtId="0" fontId="2" fillId="2" borderId="0" xfId="0" applyFont="1" applyFill="1" applyAlignment="1">
      <alignment horizontal="right" vertical="center"/>
    </xf>
    <xf numFmtId="0" fontId="7" fillId="0" borderId="0" xfId="0" applyFont="1" applyAlignment="1">
      <alignment horizontal="center" vertical="center"/>
    </xf>
    <xf numFmtId="41" fontId="2" fillId="0" borderId="0" xfId="1" applyFont="1" applyBorder="1">
      <alignment vertical="center"/>
    </xf>
    <xf numFmtId="10" fontId="2" fillId="0" borderId="0" xfId="2" applyNumberFormat="1" applyFont="1" applyFill="1" applyBorder="1">
      <alignment vertical="center"/>
    </xf>
    <xf numFmtId="41" fontId="4" fillId="0" borderId="4" xfId="1" applyFont="1" applyFill="1" applyBorder="1">
      <alignment vertical="center"/>
    </xf>
    <xf numFmtId="41" fontId="2" fillId="3" borderId="0" xfId="1" applyFont="1" applyFill="1" applyBorder="1">
      <alignment vertical="center"/>
    </xf>
    <xf numFmtId="41" fontId="4" fillId="0" borderId="0" xfId="1" applyFont="1" applyFill="1" applyBorder="1">
      <alignment vertical="center"/>
    </xf>
    <xf numFmtId="0" fontId="2" fillId="0" borderId="5" xfId="0" applyFont="1" applyBorder="1">
      <alignment vertical="center"/>
    </xf>
    <xf numFmtId="41" fontId="2" fillId="0" borderId="5" xfId="1" applyFont="1" applyBorder="1">
      <alignment vertical="center"/>
    </xf>
    <xf numFmtId="41" fontId="2" fillId="2" borderId="5" xfId="1" applyFont="1" applyFill="1" applyBorder="1">
      <alignment vertical="center"/>
    </xf>
    <xf numFmtId="10" fontId="2" fillId="0" borderId="5" xfId="2" applyNumberFormat="1" applyFont="1" applyFill="1" applyBorder="1">
      <alignment vertical="center"/>
    </xf>
    <xf numFmtId="41" fontId="2" fillId="3" borderId="5" xfId="1" applyFont="1" applyFill="1" applyBorder="1">
      <alignment vertical="center"/>
    </xf>
    <xf numFmtId="41" fontId="2" fillId="2" borderId="0" xfId="1" applyFont="1" applyFill="1" applyBorder="1">
      <alignment vertical="center"/>
    </xf>
    <xf numFmtId="41" fontId="2" fillId="0" borderId="4" xfId="1" applyFont="1" applyBorder="1">
      <alignment vertical="center"/>
    </xf>
    <xf numFmtId="0" fontId="2" fillId="3" borderId="0" xfId="0" applyFont="1" applyFill="1" applyAlignment="1">
      <alignment horizontal="center" vertical="center"/>
    </xf>
    <xf numFmtId="26" fontId="2" fillId="3" borderId="0" xfId="0" applyNumberFormat="1" applyFont="1" applyFill="1" applyAlignment="1">
      <alignment vertical="center" wrapText="1"/>
    </xf>
    <xf numFmtId="41" fontId="6" fillId="3" borderId="0" xfId="1" applyFont="1" applyFill="1" applyBorder="1" applyAlignment="1">
      <alignment vertical="center" wrapText="1"/>
    </xf>
    <xf numFmtId="0" fontId="2" fillId="2" borderId="0" xfId="0" applyFont="1" applyFill="1">
      <alignment vertical="center"/>
    </xf>
    <xf numFmtId="41" fontId="4" fillId="2" borderId="0" xfId="0" applyNumberFormat="1" applyFont="1" applyFill="1">
      <alignment vertical="center"/>
    </xf>
    <xf numFmtId="41" fontId="2" fillId="3" borderId="0" xfId="0" applyNumberFormat="1" applyFont="1" applyFill="1">
      <alignment vertical="center"/>
    </xf>
    <xf numFmtId="0" fontId="2" fillId="3" borderId="0" xfId="0" applyFont="1" applyFill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2" fillId="0" borderId="0" xfId="0" applyFont="1" applyFill="1">
      <alignment vertical="center"/>
    </xf>
    <xf numFmtId="41" fontId="2" fillId="0" borderId="0" xfId="1" applyFont="1" applyFill="1">
      <alignment vertical="center"/>
    </xf>
    <xf numFmtId="41" fontId="2" fillId="0" borderId="0" xfId="1" applyFont="1" applyFill="1" applyBorder="1">
      <alignment vertical="center"/>
    </xf>
    <xf numFmtId="0" fontId="14" fillId="0" borderId="0" xfId="0" applyFont="1" applyFill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10" fontId="2" fillId="0" borderId="0" xfId="0" applyNumberFormat="1" applyFont="1" applyBorder="1">
      <alignment vertical="center"/>
    </xf>
    <xf numFmtId="41" fontId="2" fillId="0" borderId="10" xfId="1" applyFont="1" applyBorder="1">
      <alignment vertical="center"/>
    </xf>
    <xf numFmtId="10" fontId="2" fillId="0" borderId="0" xfId="2" applyNumberFormat="1" applyFont="1" applyBorder="1">
      <alignment vertical="center"/>
    </xf>
    <xf numFmtId="0" fontId="2" fillId="0" borderId="11" xfId="0" applyFont="1" applyBorder="1" applyAlignment="1">
      <alignment horizontal="center" vertical="center"/>
    </xf>
    <xf numFmtId="41" fontId="2" fillId="0" borderId="12" xfId="1" applyFont="1" applyBorder="1">
      <alignment vertical="center"/>
    </xf>
    <xf numFmtId="41" fontId="4" fillId="0" borderId="5" xfId="1" applyFont="1" applyFill="1" applyBorder="1">
      <alignment vertical="center"/>
    </xf>
    <xf numFmtId="41" fontId="2" fillId="0" borderId="9" xfId="1" applyFont="1" applyBorder="1">
      <alignment vertical="center"/>
    </xf>
    <xf numFmtId="41" fontId="2" fillId="3" borderId="9" xfId="1" applyFont="1" applyFill="1" applyBorder="1">
      <alignment vertical="center"/>
    </xf>
    <xf numFmtId="41" fontId="2" fillId="3" borderId="11" xfId="1" applyFont="1" applyFill="1" applyBorder="1">
      <alignment vertical="center"/>
    </xf>
    <xf numFmtId="183" fontId="2" fillId="0" borderId="0" xfId="0" quotePrefix="1" applyNumberFormat="1" applyFont="1">
      <alignment vertical="center"/>
    </xf>
    <xf numFmtId="0" fontId="2" fillId="0" borderId="0" xfId="0" quotePrefix="1" applyFont="1">
      <alignment vertical="center"/>
    </xf>
    <xf numFmtId="0" fontId="15" fillId="4" borderId="0" xfId="0" applyFont="1" applyFill="1" applyBorder="1">
      <alignment vertical="center"/>
    </xf>
    <xf numFmtId="0" fontId="15" fillId="4" borderId="0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0" fontId="16" fillId="4" borderId="8" xfId="0" applyFont="1" applyFill="1" applyBorder="1" applyAlignment="1">
      <alignment horizontal="center" vertical="center"/>
    </xf>
    <xf numFmtId="0" fontId="6" fillId="5" borderId="1" xfId="0" applyFont="1" applyFill="1" applyBorder="1">
      <alignment vertical="center"/>
    </xf>
    <xf numFmtId="41" fontId="6" fillId="5" borderId="1" xfId="0" applyNumberFormat="1" applyFont="1" applyFill="1" applyBorder="1" applyAlignment="1">
      <alignment horizontal="left" vertical="center"/>
    </xf>
    <xf numFmtId="41" fontId="4" fillId="5" borderId="9" xfId="1" applyFont="1" applyFill="1" applyBorder="1">
      <alignment vertical="center"/>
    </xf>
    <xf numFmtId="41" fontId="4" fillId="5" borderId="0" xfId="1" applyFont="1" applyFill="1" applyBorder="1">
      <alignment vertical="center"/>
    </xf>
    <xf numFmtId="41" fontId="15" fillId="0" borderId="0" xfId="1" applyFon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RichValueTypes" Target="richData/rdRichValueTyp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" Target="richData/rdsupportingpropertybag.xml"/><Relationship Id="rId5" Type="http://schemas.openxmlformats.org/officeDocument/2006/relationships/sharedStrings" Target="sharedStrings.xml"/><Relationship Id="rId10" Type="http://schemas.microsoft.com/office/2017/06/relationships/rdSupportingPropertyBagStructure" Target="richData/rdsupportingpropertybagstructure.xml"/><Relationship Id="rId4" Type="http://schemas.openxmlformats.org/officeDocument/2006/relationships/styles" Target="styles.xml"/><Relationship Id="rId9" Type="http://schemas.microsoft.com/office/2017/06/relationships/richStyles" Target="richData/rich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배당재투자계산기!$U$44</c:f>
              <c:strCache>
                <c:ptCount val="1"/>
                <c:pt idx="0">
                  <c:v>누적배당금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배당재투자계산기!$T$45:$T$107</c:f>
              <c:strCache>
                <c:ptCount val="63"/>
                <c:pt idx="0">
                  <c:v>1회차</c:v>
                </c:pt>
                <c:pt idx="1">
                  <c:v>2회차</c:v>
                </c:pt>
                <c:pt idx="2">
                  <c:v>3회차</c:v>
                </c:pt>
                <c:pt idx="3">
                  <c:v>4회차</c:v>
                </c:pt>
                <c:pt idx="4">
                  <c:v>5회차</c:v>
                </c:pt>
                <c:pt idx="5">
                  <c:v>6회차</c:v>
                </c:pt>
                <c:pt idx="6">
                  <c:v>7회차</c:v>
                </c:pt>
                <c:pt idx="7">
                  <c:v>8회차</c:v>
                </c:pt>
                <c:pt idx="8">
                  <c:v>9회차</c:v>
                </c:pt>
                <c:pt idx="9">
                  <c:v>10회차</c:v>
                </c:pt>
                <c:pt idx="10">
                  <c:v>11회차</c:v>
                </c:pt>
                <c:pt idx="11">
                  <c:v>12회차</c:v>
                </c:pt>
                <c:pt idx="12">
                  <c:v>13회차</c:v>
                </c:pt>
                <c:pt idx="13">
                  <c:v>14회차</c:v>
                </c:pt>
                <c:pt idx="14">
                  <c:v>15회차</c:v>
                </c:pt>
                <c:pt idx="15">
                  <c:v>16회차</c:v>
                </c:pt>
                <c:pt idx="16">
                  <c:v>17회차</c:v>
                </c:pt>
                <c:pt idx="17">
                  <c:v>18회차</c:v>
                </c:pt>
                <c:pt idx="18">
                  <c:v>19회차</c:v>
                </c:pt>
                <c:pt idx="19">
                  <c:v>20회차</c:v>
                </c:pt>
                <c:pt idx="20">
                  <c:v>21회차</c:v>
                </c:pt>
                <c:pt idx="21">
                  <c:v>22회차</c:v>
                </c:pt>
                <c:pt idx="22">
                  <c:v>23회차</c:v>
                </c:pt>
                <c:pt idx="23">
                  <c:v>24회차</c:v>
                </c:pt>
                <c:pt idx="24">
                  <c:v>25회차</c:v>
                </c:pt>
                <c:pt idx="25">
                  <c:v>26회차</c:v>
                </c:pt>
                <c:pt idx="26">
                  <c:v>27회차</c:v>
                </c:pt>
                <c:pt idx="27">
                  <c:v>28회차</c:v>
                </c:pt>
                <c:pt idx="28">
                  <c:v>29회차</c:v>
                </c:pt>
                <c:pt idx="29">
                  <c:v>30회차</c:v>
                </c:pt>
                <c:pt idx="30">
                  <c:v>31회차</c:v>
                </c:pt>
                <c:pt idx="31">
                  <c:v>32회차</c:v>
                </c:pt>
                <c:pt idx="32">
                  <c:v>33회차</c:v>
                </c:pt>
                <c:pt idx="33">
                  <c:v>34회차</c:v>
                </c:pt>
                <c:pt idx="34">
                  <c:v>35회차</c:v>
                </c:pt>
                <c:pt idx="35">
                  <c:v>36회차</c:v>
                </c:pt>
                <c:pt idx="36">
                  <c:v>37회차</c:v>
                </c:pt>
                <c:pt idx="37">
                  <c:v>38회차</c:v>
                </c:pt>
                <c:pt idx="38">
                  <c:v>39회차</c:v>
                </c:pt>
                <c:pt idx="39">
                  <c:v>40회차</c:v>
                </c:pt>
                <c:pt idx="40">
                  <c:v>41회차</c:v>
                </c:pt>
                <c:pt idx="41">
                  <c:v>42회차</c:v>
                </c:pt>
                <c:pt idx="42">
                  <c:v>43회차</c:v>
                </c:pt>
                <c:pt idx="43">
                  <c:v>44회차</c:v>
                </c:pt>
                <c:pt idx="44">
                  <c:v>45회차</c:v>
                </c:pt>
                <c:pt idx="45">
                  <c:v>46회차</c:v>
                </c:pt>
                <c:pt idx="46">
                  <c:v>47회차</c:v>
                </c:pt>
                <c:pt idx="47">
                  <c:v>48회차</c:v>
                </c:pt>
                <c:pt idx="48">
                  <c:v>49회차</c:v>
                </c:pt>
                <c:pt idx="49">
                  <c:v>50회차</c:v>
                </c:pt>
                <c:pt idx="50">
                  <c:v>51회차</c:v>
                </c:pt>
                <c:pt idx="51">
                  <c:v>52회차</c:v>
                </c:pt>
                <c:pt idx="52">
                  <c:v>53회차</c:v>
                </c:pt>
                <c:pt idx="53">
                  <c:v>54회차</c:v>
                </c:pt>
                <c:pt idx="54">
                  <c:v>55회차</c:v>
                </c:pt>
                <c:pt idx="55">
                  <c:v>56회차</c:v>
                </c:pt>
                <c:pt idx="56">
                  <c:v>57회차</c:v>
                </c:pt>
                <c:pt idx="57">
                  <c:v>58회차</c:v>
                </c:pt>
                <c:pt idx="58">
                  <c:v>59회차</c:v>
                </c:pt>
                <c:pt idx="59">
                  <c:v>60회차</c:v>
                </c:pt>
                <c:pt idx="60">
                  <c:v>61회차</c:v>
                </c:pt>
                <c:pt idx="61">
                  <c:v>62회차</c:v>
                </c:pt>
                <c:pt idx="62">
                  <c:v>63회차</c:v>
                </c:pt>
              </c:strCache>
            </c:strRef>
          </c:cat>
          <c:val>
            <c:numRef>
              <c:f>배당재투자계산기!$U$45:$U$107</c:f>
              <c:numCache>
                <c:formatCode>_(* #,##0_);_(* \(#,##0\);_(* "-"_);_(@_)</c:formatCode>
                <c:ptCount val="63"/>
                <c:pt idx="0">
                  <c:v>109547</c:v>
                </c:pt>
                <c:pt idx="1">
                  <c:v>247944</c:v>
                </c:pt>
                <c:pt idx="2">
                  <c:v>311471</c:v>
                </c:pt>
                <c:pt idx="3">
                  <c:v>347645</c:v>
                </c:pt>
                <c:pt idx="4">
                  <c:v>387241.27316752856</c:v>
                </c:pt>
                <c:pt idx="5">
                  <c:v>442566.82752673695</c:v>
                </c:pt>
                <c:pt idx="6">
                  <c:v>476785.6182444049</c:v>
                </c:pt>
                <c:pt idx="7">
                  <c:v>551475.48659217148</c:v>
                </c:pt>
                <c:pt idx="8">
                  <c:v>628614.41625324287</c:v>
                </c:pt>
                <c:pt idx="9">
                  <c:v>667020.08866742847</c:v>
                </c:pt>
                <c:pt idx="10">
                  <c:v>704942.3325386194</c:v>
                </c:pt>
                <c:pt idx="11">
                  <c:v>804250.30413256772</c:v>
                </c:pt>
                <c:pt idx="12">
                  <c:v>906580.88844429282</c:v>
                </c:pt>
                <c:pt idx="13">
                  <c:v>949730.5552346732</c:v>
                </c:pt>
                <c:pt idx="14">
                  <c:v>992057.08702960564</c:v>
                </c:pt>
                <c:pt idx="15">
                  <c:v>1123152.3807331822</c:v>
                </c:pt>
                <c:pt idx="16">
                  <c:v>1258044.0181026068</c:v>
                </c:pt>
                <c:pt idx="17">
                  <c:v>1306634.7016752374</c:v>
                </c:pt>
                <c:pt idx="18">
                  <c:v>1353887.7242301891</c:v>
                </c:pt>
                <c:pt idx="19">
                  <c:v>1526277.4709181623</c:v>
                </c:pt>
                <c:pt idx="20">
                  <c:v>1703530.4282088135</c:v>
                </c:pt>
                <c:pt idx="21">
                  <c:v>1758411.5994732841</c:v>
                </c:pt>
                <c:pt idx="22">
                  <c:v>1811179.0243545999</c:v>
                </c:pt>
                <c:pt idx="23">
                  <c:v>2037599.3942643749</c:v>
                </c:pt>
                <c:pt idx="24">
                  <c:v>2270378.6881552543</c:v>
                </c:pt>
                <c:pt idx="25">
                  <c:v>2332607.1029644283</c:v>
                </c:pt>
                <c:pt idx="26">
                  <c:v>2391552.5498117553</c:v>
                </c:pt>
                <c:pt idx="27">
                  <c:v>2689244.8860995639</c:v>
                </c:pt>
                <c:pt idx="28">
                  <c:v>2995426.7886309535</c:v>
                </c:pt>
                <c:pt idx="29">
                  <c:v>3066348.7160859974</c:v>
                </c:pt>
                <c:pt idx="30">
                  <c:v>3132224.0092730764</c:v>
                </c:pt>
                <c:pt idx="31">
                  <c:v>3488932.6869604103</c:v>
                </c:pt>
                <c:pt idx="32">
                  <c:v>3820497.8324927138</c:v>
                </c:pt>
                <c:pt idx="33">
                  <c:v>3828424.009374348</c:v>
                </c:pt>
                <c:pt idx="34">
                  <c:v>3828613.4873119583</c:v>
                </c:pt>
                <c:pt idx="35">
                  <c:v>4414210.8809502665</c:v>
                </c:pt>
                <c:pt idx="36">
                  <c:v>5015404.1111752065</c:v>
                </c:pt>
                <c:pt idx="37">
                  <c:v>5031419.964175893</c:v>
                </c:pt>
                <c:pt idx="38">
                  <c:v>5031846.6282406952</c:v>
                </c:pt>
                <c:pt idx="39">
                  <c:v>5798107.0614952482</c:v>
                </c:pt>
                <c:pt idx="40">
                  <c:v>6587104.6329476116</c:v>
                </c:pt>
                <c:pt idx="41">
                  <c:v>6610528.1854460314</c:v>
                </c:pt>
                <c:pt idx="42">
                  <c:v>6611223.5777152833</c:v>
                </c:pt>
                <c:pt idx="43">
                  <c:v>7413873.4731397517</c:v>
                </c:pt>
                <c:pt idx="44">
                  <c:v>8243057.5364332059</c:v>
                </c:pt>
                <c:pt idx="45">
                  <c:v>8270490.2738065347</c:v>
                </c:pt>
                <c:pt idx="46">
                  <c:v>8271397.8588809576</c:v>
                </c:pt>
                <c:pt idx="47">
                  <c:v>9334290.8927897476</c:v>
                </c:pt>
                <c:pt idx="48">
                  <c:v>10436341.407917516</c:v>
                </c:pt>
                <c:pt idx="49">
                  <c:v>10476972.71604117</c:v>
                </c:pt>
                <c:pt idx="50">
                  <c:v>10478470.74464982</c:v>
                </c:pt>
                <c:pt idx="51">
                  <c:v>11907206.287310578</c:v>
                </c:pt>
                <c:pt idx="52">
                  <c:v>13394588.287821651</c:v>
                </c:pt>
                <c:pt idx="53">
                  <c:v>13455699.785571964</c:v>
                </c:pt>
                <c:pt idx="54">
                  <c:v>13458210.650404271</c:v>
                </c:pt>
                <c:pt idx="55">
                  <c:v>15409923.315474663</c:v>
                </c:pt>
                <c:pt idx="56">
                  <c:v>17450895.279800668</c:v>
                </c:pt>
                <c:pt idx="57">
                  <c:v>17544345.116904501</c:v>
                </c:pt>
                <c:pt idx="58">
                  <c:v>17548623.897900701</c:v>
                </c:pt>
                <c:pt idx="59">
                  <c:v>20261471.351509828</c:v>
                </c:pt>
                <c:pt idx="60">
                  <c:v>23112544.825318854</c:v>
                </c:pt>
                <c:pt idx="61">
                  <c:v>23258020.715200011</c:v>
                </c:pt>
                <c:pt idx="62">
                  <c:v>23265443.615637735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9-407D-9D5A-3DF4E98315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352975"/>
        <c:axId val="45353455"/>
      </c:barChart>
      <c:catAx>
        <c:axId val="45352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353455"/>
        <c:crosses val="autoZero"/>
        <c:auto val="1"/>
        <c:lblAlgn val="ctr"/>
        <c:lblOffset val="100"/>
        <c:noMultiLvlLbl val="0"/>
      </c:catAx>
      <c:valAx>
        <c:axId val="45353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352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151037</xdr:colOff>
      <xdr:row>43</xdr:row>
      <xdr:rowOff>19868</xdr:rowOff>
    </xdr:from>
    <xdr:to>
      <xdr:col>28</xdr:col>
      <xdr:colOff>664027</xdr:colOff>
      <xdr:row>64</xdr:row>
      <xdr:rowOff>15514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CE4B67-D3E0-4187-B923-47B579ED5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46972;&#51060;&#54532;&#49828;&#53440;&#51068;\&#46972;&#51060;&#54532;&#49828;&#53440;&#51068;%20&#49828;&#54532;&#47112;&#46300;&#49884;&#53944;5(2025).xlsx" TargetMode="External"/><Relationship Id="rId1" Type="http://schemas.openxmlformats.org/officeDocument/2006/relationships/externalLinkPath" Target="/&#46972;&#51060;&#54532;&#49828;&#53440;&#51068;/&#46972;&#51060;&#54532;&#49828;&#53440;&#51068;%20&#49828;&#54532;&#47112;&#46300;&#49884;&#53944;5(202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2"/>
      <sheetName val="2023"/>
      <sheetName val="2024"/>
      <sheetName val="2025"/>
      <sheetName val="2026"/>
      <sheetName val="Sheet2"/>
      <sheetName val="교육"/>
      <sheetName val="자금,회계"/>
      <sheetName val="매매계획표(연금)"/>
      <sheetName val="매매계획표(IRP)"/>
      <sheetName val="해외주식(자산배분)_엄마"/>
      <sheetName val="해외주식(자산배분)"/>
      <sheetName val="나의schd모으기(2025년~2034년)"/>
      <sheetName val="배당재투자계산기"/>
      <sheetName val="배당락일"/>
      <sheetName val="월1000만원"/>
      <sheetName val="누적배당금"/>
      <sheetName val="배당캘린더"/>
      <sheetName val="재테크수익정산"/>
      <sheetName val="연말정산"/>
      <sheetName val="저축계획"/>
      <sheetName val="파운드"/>
      <sheetName val="베이커리"/>
      <sheetName val="병원복약"/>
      <sheetName val="해외주식"/>
      <sheetName val="한국주식"/>
      <sheetName val="정배열"/>
      <sheetName val="TASK DUMP"/>
      <sheetName val="비트코인"/>
      <sheetName val="배당주"/>
      <sheetName val="섹터"/>
      <sheetName val="12월"/>
      <sheetName val="행동계획표"/>
      <sheetName val="기획"/>
      <sheetName val="종소세"/>
      <sheetName val="자산관리표"/>
      <sheetName val="장기로드맵"/>
      <sheetName val="경력"/>
      <sheetName val="기억"/>
      <sheetName val="가계부"/>
      <sheetName val="포스팅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43">
          <cell r="T43" t="str">
            <v>누적배당금</v>
          </cell>
        </row>
        <row r="44">
          <cell r="S44" t="str">
            <v>1회차</v>
          </cell>
          <cell r="T44">
            <v>109547</v>
          </cell>
        </row>
        <row r="45">
          <cell r="S45" t="str">
            <v>2회차</v>
          </cell>
          <cell r="T45">
            <v>247944</v>
          </cell>
        </row>
        <row r="46">
          <cell r="S46" t="str">
            <v>3회차</v>
          </cell>
          <cell r="T46">
            <v>311471</v>
          </cell>
        </row>
        <row r="47">
          <cell r="S47" t="str">
            <v>4회차</v>
          </cell>
          <cell r="T47">
            <v>347645</v>
          </cell>
        </row>
        <row r="48">
          <cell r="S48" t="str">
            <v>5회차</v>
          </cell>
          <cell r="T48">
            <v>387241.27316752856</v>
          </cell>
        </row>
        <row r="49">
          <cell r="S49" t="str">
            <v>6회차</v>
          </cell>
          <cell r="T49">
            <v>442566.82752673695</v>
          </cell>
        </row>
        <row r="50">
          <cell r="S50" t="str">
            <v>7회차</v>
          </cell>
          <cell r="T50">
            <v>476785.6182444049</v>
          </cell>
        </row>
        <row r="51">
          <cell r="S51" t="str">
            <v>8회차</v>
          </cell>
          <cell r="T51">
            <v>551475.48659217148</v>
          </cell>
        </row>
        <row r="52">
          <cell r="S52" t="str">
            <v>9회차</v>
          </cell>
          <cell r="T52">
            <v>628614.41625324287</v>
          </cell>
        </row>
        <row r="53">
          <cell r="S53" t="str">
            <v>10회차</v>
          </cell>
          <cell r="T53">
            <v>667020.08866742847</v>
          </cell>
        </row>
        <row r="54">
          <cell r="S54" t="str">
            <v>11회차</v>
          </cell>
          <cell r="T54">
            <v>704942.3325386194</v>
          </cell>
        </row>
        <row r="55">
          <cell r="S55" t="str">
            <v>12회차</v>
          </cell>
          <cell r="T55">
            <v>804250.30413256772</v>
          </cell>
        </row>
        <row r="56">
          <cell r="S56" t="str">
            <v>13회차</v>
          </cell>
          <cell r="T56">
            <v>906580.88844429282</v>
          </cell>
        </row>
        <row r="57">
          <cell r="S57" t="str">
            <v>14회차</v>
          </cell>
          <cell r="T57">
            <v>949730.5552346732</v>
          </cell>
        </row>
        <row r="58">
          <cell r="S58" t="str">
            <v>15회차</v>
          </cell>
          <cell r="T58">
            <v>992057.08702960564</v>
          </cell>
        </row>
        <row r="59">
          <cell r="S59" t="str">
            <v>16회차</v>
          </cell>
          <cell r="T59">
            <v>1123152.3807331822</v>
          </cell>
        </row>
        <row r="60">
          <cell r="S60" t="str">
            <v>17회차</v>
          </cell>
          <cell r="T60">
            <v>1258044.0181026068</v>
          </cell>
        </row>
        <row r="61">
          <cell r="S61" t="str">
            <v>18회차</v>
          </cell>
          <cell r="T61">
            <v>1306634.7016752374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5">
  <rv s="0">
    <v>en-US</v>
    <v>avyoyc</v>
    <v>268435456</v>
    <v>1</v>
    <v>Powered by Refinitiv</v>
    <v>0</v>
    <v>USD/KRW</v>
    <v>2</v>
    <v>3</v>
    <v>Finance</v>
    <v>4</v>
    <v>1487.3</v>
    <v>1346.8</v>
    <v>-0.67</v>
    <v>-4.6000000000000001E-4</v>
    <v>KRW</v>
    <v>USD</v>
    <v>1460.64</v>
    <v>Currency Pair</v>
    <v>46064.117581018516</v>
    <v>1453.48</v>
    <v>US Dollar/Korean Won FX Spot Rate</v>
    <v>1457.06</v>
    <v>1456.47</v>
    <v>1455.8</v>
    <v>USDKRW</v>
    <v>USD/KRW</v>
  </rv>
  <rv s="1">
    <v>0</v>
  </rv>
  <rv s="2">
    <v>https://www.bing.com/financeapi/forcetrigger?t=a22m27&amp;q=ARCX%3aSCHD&amp;form=skydnc</v>
    <v>Learn more on Bing</v>
  </rv>
  <rv s="3">
    <v>en-US</v>
    <v>a22m27</v>
    <v>268435456</v>
    <v>1</v>
    <v>Powered by Refinitiv</v>
    <v>5</v>
    <v>Schwab Str:US Div Eq ETF (ARCX:SCHD)</v>
    <v>6</v>
    <v>7</v>
    <v>Finance</v>
    <v>8</v>
    <v>31.49</v>
    <v>23.87</v>
    <v>0.91620000000000001</v>
    <v>-0.06</v>
    <v>1.9070000000000001E-3</v>
    <v>-1.9139999999999999E-3</v>
    <v>5.9700000000000003E-2</v>
    <v>USD</v>
    <v>NYSE Arca</v>
    <v>ARCX</v>
    <v>5.9999999999999995E-4</v>
    <v>31.4</v>
    <v>ETF</v>
    <v>46064.041662256248</v>
    <v>2</v>
    <v>31.21</v>
    <v>78399785393.020004</v>
    <v>Schwab Str:US Div Eq ETF</v>
    <v>31.35</v>
    <v>31.35</v>
    <v>31.29</v>
    <v>31.3597</v>
    <v>SCHD</v>
    <v>Schwab Str:US Div Eq ETF (ARCX:SCHD)</v>
    <v>20978001</v>
    <v>22453200</v>
  </rv>
  <rv s="1">
    <v>3</v>
  </rv>
</rvData>
</file>

<file path=xl/richData/rdrichvaluestructure.xml><?xml version="1.0" encoding="utf-8"?>
<rvStructures xmlns="http://schemas.microsoft.com/office/spreadsheetml/2017/richdata" count="4"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From currency" t="s"/>
    <k n="High"/>
    <k n="Instrument type" t="s"/>
    <k n="Last trade time"/>
    <k n="Low"/>
    <k n="Name" t="s"/>
    <k n="Open"/>
    <k n="Previous close"/>
    <k n="Price"/>
    <k n="Ticker symbol" t="s"/>
    <k n="UniqueName" t="s"/>
  </s>
  <s t="_linkedentity">
    <k n="%cvi" t="r"/>
  </s>
  <s t="_hyperlink">
    <k n="Address" t="s"/>
    <k n="Text" t="s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Beta"/>
    <k n="Change"/>
    <k n="Change % (Extended hours)"/>
    <k n="Change (%)"/>
    <k n="Change (Extended hours)"/>
    <k n="Currency" t="s"/>
    <k n="Exchange" t="s"/>
    <k n="Exchange abbreviation" t="s"/>
    <k n="Expense ratio"/>
    <k n="High"/>
    <k n="Instrument type" t="s"/>
    <k n="Last trade time"/>
    <k n="LearnMoreOnLink" t="r"/>
    <k n="Low"/>
    <k n="Market cap"/>
    <k n="Name" t="s"/>
    <k n="Open"/>
    <k n="Previous close"/>
    <k n="Price"/>
    <k n="Price (Extended hours)"/>
    <k n="Ticker symbol" t="s"/>
    <k n="UniqueName" t="s"/>
    <k n="Volume"/>
    <k n="Volume average"/>
  </s>
</rvStructures>
</file>

<file path=xl/richData/rdsupportingpropertybag.xml><?xml version="1.0" encoding="utf-8"?>
<supportingPropertyBags xmlns="http://schemas.microsoft.com/office/spreadsheetml/2017/richdata2">
  <spbArrays count="2">
    <a count="27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From currency</v>
      <v t="s">Previous close</v>
      <v t="s">Open</v>
      <v t="s">High</v>
      <v t="s">Low</v>
      <v t="s">52 week high</v>
      <v t="s">52 week low</v>
      <v t="s">Instrument type</v>
      <v t="s">_Flags</v>
      <v t="s">UniqueName</v>
      <v t="s">_DisplayString</v>
      <v t="s">%ProviderInfo</v>
    </a>
    <a count="37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Price (Extended hours)</v>
      <v t="s">Exchange</v>
      <v t="s">Last trade time</v>
      <v t="s">Ticker symbol</v>
      <v t="s">Exchange abbreviation</v>
      <v t="s">Change</v>
      <v t="s">Change (Extended hours)</v>
      <v t="s">Expense ratio</v>
      <v t="s">Change (%)</v>
      <v t="s">Change % (Extended hours)</v>
      <v t="s">Currency</v>
      <v t="s">Previous close</v>
      <v t="s">Open</v>
      <v t="s">High</v>
      <v t="s">Low</v>
      <v t="s">52 week high</v>
      <v t="s">52 week low</v>
      <v t="s">Volume</v>
      <v t="s">Volume average</v>
      <v t="s">Market cap</v>
      <v t="s">Beta</v>
      <v t="s">Instrument type</v>
      <v t="s">_Flags</v>
      <v t="s">UniqueName</v>
      <v t="s">_DisplayString</v>
      <v t="s">LearnMoreOnLink</v>
      <v t="s">%ProviderInfo</v>
    </a>
  </spbArrays>
  <spbData count="9">
    <spb s="0">
      <v>0</v>
      <v>Name</v>
    </spb>
    <spb s="1">
      <v>0</v>
      <v>0</v>
      <v>0</v>
    </spb>
    <spb s="2">
      <v>1</v>
      <v>1</v>
    </spb>
    <spb s="3">
      <v>1</v>
      <v>1</v>
      <v>2</v>
      <v>1</v>
      <v>1</v>
      <v>1</v>
      <v>3</v>
      <v>1</v>
      <v>1</v>
      <v>1</v>
      <v>4</v>
      <v>5</v>
    </spb>
    <spb s="4">
      <v>GMT</v>
    </spb>
    <spb s="5">
      <v>1</v>
      <v>Name</v>
      <v>LearnMoreOnLink</v>
    </spb>
    <spb s="6">
      <v>1</v>
      <v>1</v>
      <v>1</v>
    </spb>
    <spb s="7">
      <v>6</v>
      <v>7</v>
      <v>6</v>
      <v>2</v>
      <v>6</v>
      <v>6</v>
      <v>6</v>
      <v>8</v>
      <v>3</v>
      <v>9</v>
      <v>6</v>
      <v>6</v>
      <v>3</v>
      <v>6</v>
      <v>8</v>
      <v>4</v>
      <v>5</v>
      <v>6</v>
      <v>6</v>
      <v>3</v>
    </spb>
    <spb s="8">
      <v>at close</v>
      <v>from previous close</v>
      <v>Source: Nasdaq Last Sale</v>
      <v>from previous close</v>
      <v>GMT</v>
      <v>Real-Time Nasdaq Last Sale</v>
      <v>from close</v>
      <v>from close</v>
    </spb>
  </spbData>
</supportingPropertyBags>
</file>

<file path=xl/richData/rdsupportingpropertybagstructure.xml><?xml version="1.0" encoding="utf-8"?>
<spbStructures xmlns="http://schemas.microsoft.com/office/spreadsheetml/2017/richdata2" count="9"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Low" t="i"/>
    <k n="High" t="i"/>
    <k n="Name" t="i"/>
    <k n="Open" t="i"/>
    <k n="Price" t="i"/>
    <k n="Change" t="i"/>
    <k n="Change (%)" t="i"/>
    <k n="52 week low" t="i"/>
    <k n="52 week high" t="i"/>
    <k n="Previous close" t="i"/>
    <k n="Last trade time" t="i"/>
    <k n="`%EntityServiceId" t="i"/>
  </s>
  <s>
    <k n="Last trade time" t="s"/>
  </s>
  <s>
    <k n="^Order" t="spba"/>
    <k n="TitleProperty" t="s"/>
    <k n="SubTitleProperty" t="s"/>
  </s>
  <s>
    <k n="UniqueName" t="spb"/>
    <k n="`%ProviderInfo" t="spb"/>
    <k n="LearnMoreOnLink" t="spb"/>
  </s>
  <s>
    <k n="Low" t="i"/>
    <k n="Beta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Volume average" t="i"/>
    <k n="Last trade time" t="i"/>
    <k n="`%EntityServiceId" t="i"/>
    <k n="Price (Extended hours)" t="i"/>
    <k n="Change (Extended hours)" t="i"/>
    <k n="Change % (Extended hours)" t="i"/>
  </s>
  <s>
    <k n="Price" t="s"/>
    <k n="Change" t="s"/>
    <k n="Exchange" t="s"/>
    <k n="Change (%)" t="s"/>
    <k n="Last trade time" t="s"/>
    <k n="Price (Extended hours)" t="s"/>
    <k n="Change (Extended hours)" t="s"/>
    <k n="Change % (Extended hours)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5">
    <x:dxf>
      <x:numFmt numFmtId="0" formatCode="General"/>
    </x:dxf>
    <x:dxf>
      <x:numFmt numFmtId="14" formatCode="0.00%"/>
    </x:dxf>
    <x:dxf>
      <x:numFmt numFmtId="27" formatCode="yyyy/mm/dd\ h:mm"/>
    </x:dxf>
    <x:dxf>
      <x:numFmt numFmtId="8" formatCode="#,##0.00;[Red]\-#,##0.00"/>
    </x:dxf>
    <x:dxf>
      <x:numFmt numFmtId="6" formatCode="#,##0;[Red]\-#,##0"/>
    </x:dxf>
  </dxfs>
  <richProperties>
    <rPr n="NumberFormat" t="s"/>
    <rPr n="IsTitleField" t="b"/>
  </richProperties>
  <richStyles>
    <rSty dxfid="0">
      <rpv i="0">_-[$₩-ko-KR]* #,##0.00_-;-[$₩-ko-KR]* #,##0.00_-;_-[$₩-ko-KR]* "-"??_-;_-@_-</rpv>
    </rSty>
    <rSty>
      <rpv i="1">1</rpv>
    </rSty>
    <rSty dxfid="1"/>
    <rSty dxfid="2"/>
    <rSty dxfid="0">
      <rpv i="0">0.00_);[Red](0.00)</rpv>
    </rSty>
    <rSty dxfid="0">
      <rpv i="0">_([$$-en-US]* #,##0.00_);_([$$-en-US]* (#,##0.00);_([$$-en-US]* "-"??_);_(@_)</rpv>
    </rSty>
    <rSty dxfid="3">
      <rpv i="0">#,##0.00_);[Red](#,##0.00)</rpv>
    </rSty>
    <rSty dxfid="4">
      <rpv i="0">#,##0_);[Red](#,##0)</rpv>
    </rSty>
    <rSty dxfid="0">
      <rpv i="0">_([$$-en-US]* #,##0_);_([$$-en-US]* (#,##0);_([$$-en-US]* "-"_);_(@_)</rpv>
    </rSty>
  </richStyles>
</richStyleSheet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12C95-FD85-4494-B303-F4409B5B1138}">
  <dimension ref="A1:AC143"/>
  <sheetViews>
    <sheetView showGridLines="0" tabSelected="1" zoomScaleNormal="100" workbookViewId="0"/>
  </sheetViews>
  <sheetFormatPr defaultColWidth="8.69921875" defaultRowHeight="13.5" customHeight="1" x14ac:dyDescent="0.4"/>
  <cols>
    <col min="1" max="1" width="17" style="6" customWidth="1"/>
    <col min="2" max="2" width="13" style="6" customWidth="1"/>
    <col min="3" max="3" width="32.5" style="3" customWidth="1"/>
    <col min="4" max="8" width="16.5" style="5" customWidth="1"/>
    <col min="9" max="9" width="16.5" style="6" customWidth="1"/>
    <col min="10" max="10" width="39.5" style="6" customWidth="1"/>
    <col min="11" max="11" width="5.69921875" style="6" customWidth="1"/>
    <col min="12" max="12" width="8.796875" style="6" bestFit="1" customWidth="1"/>
    <col min="13" max="13" width="18.09765625" style="6" customWidth="1"/>
    <col min="14" max="14" width="13.296875" style="6" bestFit="1" customWidth="1"/>
    <col min="15" max="15" width="12" style="6" bestFit="1" customWidth="1"/>
    <col min="16" max="16" width="13.296875" style="6" bestFit="1" customWidth="1"/>
    <col min="17" max="17" width="14.09765625" style="6" customWidth="1"/>
    <col min="18" max="18" width="12.59765625" style="6" customWidth="1"/>
    <col min="19" max="19" width="11.09765625" style="6" bestFit="1" customWidth="1"/>
    <col min="20" max="20" width="12" style="6" customWidth="1"/>
    <col min="21" max="33" width="14.09765625" style="6" customWidth="1"/>
    <col min="34" max="16384" width="8.69921875" style="6"/>
  </cols>
  <sheetData>
    <row r="1" spans="1:29" ht="13.5" customHeight="1" x14ac:dyDescent="0.4">
      <c r="A1" s="68" t="s">
        <v>196</v>
      </c>
    </row>
    <row r="2" spans="1:29" ht="13.5" customHeight="1" x14ac:dyDescent="0.4">
      <c r="A2" s="1" t="s">
        <v>0</v>
      </c>
      <c r="B2" s="2">
        <v>45809</v>
      </c>
      <c r="D2" s="4" t="s">
        <v>1</v>
      </c>
    </row>
    <row r="3" spans="1:29" ht="15.6" x14ac:dyDescent="0.4">
      <c r="A3" s="1" t="s">
        <v>2</v>
      </c>
      <c r="B3" s="2">
        <v>46130</v>
      </c>
      <c r="D3" s="5" t="s">
        <v>3</v>
      </c>
      <c r="E3" s="5" t="s">
        <v>4</v>
      </c>
      <c r="F3" s="5" t="s">
        <v>3</v>
      </c>
      <c r="G3" s="5" t="s">
        <v>4</v>
      </c>
      <c r="H3" s="5" t="s">
        <v>3</v>
      </c>
      <c r="I3" s="5" t="s">
        <v>4</v>
      </c>
    </row>
    <row r="4" spans="1:29" ht="15.6" x14ac:dyDescent="0.4">
      <c r="A4" s="7" t="s">
        <v>5</v>
      </c>
      <c r="B4" s="8">
        <f>+SUMIF(A21:$A$946,A4,$H$21:$H$946)</f>
        <v>16505926.0625</v>
      </c>
      <c r="C4" s="9"/>
      <c r="D4" s="10">
        <v>46106</v>
      </c>
      <c r="E4" s="11">
        <v>46112</v>
      </c>
      <c r="F4" s="10">
        <v>45742</v>
      </c>
      <c r="G4" s="10">
        <v>45747</v>
      </c>
      <c r="H4" s="10">
        <v>45371</v>
      </c>
      <c r="I4" s="10">
        <v>45376</v>
      </c>
    </row>
    <row r="5" spans="1:29" ht="15.6" x14ac:dyDescent="0.4">
      <c r="A5" s="12" t="s">
        <v>6</v>
      </c>
      <c r="B5" s="8">
        <f>+SUMIF(A21:$A$945,A5,$H$21:$H$945)</f>
        <v>614282.9375</v>
      </c>
      <c r="C5" s="6" t="s">
        <v>7</v>
      </c>
      <c r="D5" s="13">
        <v>45833</v>
      </c>
      <c r="F5" s="10">
        <v>45833</v>
      </c>
      <c r="G5" s="10">
        <v>45839</v>
      </c>
      <c r="H5" s="10">
        <v>45469</v>
      </c>
      <c r="I5" s="10">
        <v>45474</v>
      </c>
    </row>
    <row r="6" spans="1:29" ht="15.6" x14ac:dyDescent="0.4">
      <c r="A6" s="1" t="s">
        <v>8</v>
      </c>
      <c r="B6" s="8">
        <f>+B4+B5</f>
        <v>17120209</v>
      </c>
      <c r="C6" s="9"/>
      <c r="D6" s="13">
        <v>46290</v>
      </c>
      <c r="F6" s="10">
        <v>45924</v>
      </c>
      <c r="G6" s="10">
        <v>45930</v>
      </c>
      <c r="H6" s="10">
        <v>45560</v>
      </c>
      <c r="I6" s="10">
        <v>45565</v>
      </c>
    </row>
    <row r="7" spans="1:29" ht="15.6" x14ac:dyDescent="0.4">
      <c r="A7" s="1" t="s">
        <v>9</v>
      </c>
      <c r="B7" s="14">
        <f ca="1">+B8-B6</f>
        <v>4562534.4319999963</v>
      </c>
      <c r="C7" s="15"/>
      <c r="D7" s="13">
        <v>46366</v>
      </c>
      <c r="F7" s="10">
        <v>46001</v>
      </c>
      <c r="G7" s="10">
        <v>46007</v>
      </c>
      <c r="H7" s="10">
        <v>45637</v>
      </c>
      <c r="I7" s="10">
        <v>45642</v>
      </c>
    </row>
    <row r="8" spans="1:29" ht="15.6" x14ac:dyDescent="0.4">
      <c r="A8" s="1" t="s">
        <v>10</v>
      </c>
      <c r="B8" s="14">
        <f ca="1">+G18</f>
        <v>21682743.431999996</v>
      </c>
      <c r="C8" s="9"/>
      <c r="D8" s="3" t="s">
        <v>11</v>
      </c>
    </row>
    <row r="9" spans="1:29" ht="15.6" x14ac:dyDescent="0.4">
      <c r="A9" s="1" t="s">
        <v>198</v>
      </c>
      <c r="B9" s="16">
        <f ca="1">+(B8-B6)/B6</f>
        <v>0.26649992602309913</v>
      </c>
      <c r="C9" s="15"/>
    </row>
    <row r="10" spans="1:29" ht="15.6" x14ac:dyDescent="0.4">
      <c r="A10" s="1" t="s">
        <v>12</v>
      </c>
      <c r="B10" s="16">
        <f ca="1">+(B8/B6)^(365/(B3-B2))-1</f>
        <v>0.30818579390941414</v>
      </c>
      <c r="C10" s="9"/>
    </row>
    <row r="11" spans="1:29" ht="15.6" x14ac:dyDescent="0.4">
      <c r="A11" s="94" t="s">
        <v>13</v>
      </c>
      <c r="B11" s="95">
        <f>+V17+W17+X17+U18</f>
        <v>595589</v>
      </c>
      <c r="C11" s="3" t="s">
        <v>14</v>
      </c>
      <c r="L11" s="68" t="s">
        <v>191</v>
      </c>
      <c r="N11" s="17"/>
      <c r="O11" s="17"/>
      <c r="P11" s="17"/>
      <c r="T11" s="17"/>
      <c r="U11" s="68" t="s">
        <v>192</v>
      </c>
    </row>
    <row r="12" spans="1:29" ht="15.6" x14ac:dyDescent="0.4">
      <c r="A12" s="1" t="s">
        <v>199</v>
      </c>
      <c r="B12" s="18">
        <f>+B11/B4</f>
        <v>3.6083343506131738E-2</v>
      </c>
      <c r="C12" s="3" t="s">
        <v>200</v>
      </c>
      <c r="L12" s="27" t="s">
        <v>193</v>
      </c>
      <c r="N12" s="17"/>
      <c r="O12" s="17"/>
      <c r="P12" s="17"/>
    </row>
    <row r="13" spans="1:29" ht="15.6" x14ac:dyDescent="0.4">
      <c r="A13" s="20" t="s">
        <v>15</v>
      </c>
      <c r="B13" s="16">
        <f ca="1">(B8+B11-B4)/B4</f>
        <v>0.34971720748309854</v>
      </c>
      <c r="C13" s="21"/>
      <c r="D13" s="22"/>
      <c r="F13" s="11"/>
      <c r="G13" s="11"/>
      <c r="H13" s="11"/>
      <c r="I13" s="11"/>
      <c r="J13" s="11"/>
      <c r="K13" s="11"/>
      <c r="L13" s="27" t="s">
        <v>304</v>
      </c>
      <c r="N13" s="17"/>
      <c r="O13" s="17"/>
      <c r="P13" s="17"/>
      <c r="T13" s="98" t="s">
        <v>16</v>
      </c>
      <c r="U13" s="24">
        <f>+$O$18/4</f>
        <v>1500000</v>
      </c>
      <c r="V13" s="24">
        <f t="shared" ref="V13:X13" si="0">+$O$18/4</f>
        <v>1500000</v>
      </c>
      <c r="W13" s="24">
        <f t="shared" si="0"/>
        <v>1500000</v>
      </c>
      <c r="X13" s="24">
        <f t="shared" si="0"/>
        <v>1500000</v>
      </c>
      <c r="Y13" s="25">
        <f>SUM(U13:X13)</f>
        <v>6000000</v>
      </c>
    </row>
    <row r="14" spans="1:29" ht="16.2" thickBot="1" x14ac:dyDescent="0.45">
      <c r="A14" s="1" t="s">
        <v>12</v>
      </c>
      <c r="B14" s="16">
        <f ca="1">((B8+B11)/B4)^(365/(B3-B2))-1</f>
        <v>0.40635634937764253</v>
      </c>
      <c r="C14" s="26"/>
      <c r="D14" s="26"/>
      <c r="H14" s="11"/>
      <c r="I14" s="11"/>
      <c r="J14" s="11"/>
      <c r="K14" s="11"/>
      <c r="L14" s="27" t="s">
        <v>194</v>
      </c>
      <c r="N14" s="17"/>
      <c r="O14" s="17"/>
      <c r="P14" s="17"/>
      <c r="T14" s="98" t="s">
        <v>17</v>
      </c>
      <c r="U14" s="6">
        <v>0</v>
      </c>
      <c r="V14" s="6">
        <v>0</v>
      </c>
      <c r="W14" s="6">
        <v>0</v>
      </c>
      <c r="X14" s="6">
        <v>0</v>
      </c>
      <c r="Y14" s="6">
        <f>SUM(U14:X14)</f>
        <v>0</v>
      </c>
    </row>
    <row r="15" spans="1:29" ht="15.6" x14ac:dyDescent="0.4">
      <c r="J15" s="11"/>
      <c r="K15" s="11"/>
      <c r="L15" s="27" t="s">
        <v>18</v>
      </c>
      <c r="M15" s="28">
        <f>+N17+SUM(O17:O26)</f>
        <v>69280447</v>
      </c>
      <c r="N15" s="29">
        <f>+Q26/M15</f>
        <v>0.14600511182256487</v>
      </c>
      <c r="O15" s="17"/>
      <c r="P15" s="30"/>
      <c r="T15" s="17"/>
      <c r="U15" s="91" t="s">
        <v>303</v>
      </c>
      <c r="V15" s="92"/>
      <c r="W15" s="92"/>
      <c r="X15" s="92"/>
      <c r="Y15" s="93"/>
    </row>
    <row r="16" spans="1:29" s="19" customFormat="1" ht="15.6" x14ac:dyDescent="0.4">
      <c r="B16" s="6" t="s">
        <v>19</v>
      </c>
      <c r="C16" s="10" t="e" vm="1">
        <v>#VALUE!</v>
      </c>
      <c r="D16" s="26" cm="1">
        <f t="array" ref="D16">_FV(C16,"Price")</f>
        <v>1455.8</v>
      </c>
      <c r="E16" s="3"/>
      <c r="F16" s="5"/>
      <c r="G16" s="5"/>
      <c r="H16" s="11"/>
      <c r="I16" s="11"/>
      <c r="J16" s="5"/>
      <c r="K16" s="5"/>
      <c r="L16" s="89" t="s">
        <v>20</v>
      </c>
      <c r="M16" s="89" t="s">
        <v>21</v>
      </c>
      <c r="N16" s="89" t="s">
        <v>22</v>
      </c>
      <c r="O16" s="89" t="s">
        <v>23</v>
      </c>
      <c r="P16" s="89" t="s">
        <v>24</v>
      </c>
      <c r="Q16" s="89" t="s">
        <v>25</v>
      </c>
      <c r="R16" s="89" t="s">
        <v>26</v>
      </c>
      <c r="S16" s="89" t="s">
        <v>27</v>
      </c>
      <c r="T16" s="90" t="s">
        <v>28</v>
      </c>
      <c r="U16" s="89" t="s">
        <v>29</v>
      </c>
      <c r="V16" s="89" t="s">
        <v>201</v>
      </c>
      <c r="W16" s="89" t="s">
        <v>30</v>
      </c>
      <c r="X16" s="89" t="s">
        <v>31</v>
      </c>
      <c r="Y16" s="89" t="s">
        <v>13</v>
      </c>
      <c r="Z16" s="6"/>
      <c r="AA16" s="6"/>
      <c r="AB16" s="6"/>
      <c r="AC16" s="6"/>
    </row>
    <row r="17" spans="1:29" ht="15.6" x14ac:dyDescent="0.4">
      <c r="A17" s="89" t="s">
        <v>32</v>
      </c>
      <c r="B17" s="89" t="s">
        <v>33</v>
      </c>
      <c r="C17" s="89" t="s">
        <v>34</v>
      </c>
      <c r="D17" s="89" t="s">
        <v>35</v>
      </c>
      <c r="E17" s="89" t="s">
        <v>36</v>
      </c>
      <c r="F17" s="89" t="s">
        <v>37</v>
      </c>
      <c r="G17" s="89" t="s">
        <v>38</v>
      </c>
      <c r="H17" s="89" t="s">
        <v>39</v>
      </c>
      <c r="I17" s="89" t="s">
        <v>198</v>
      </c>
      <c r="J17" s="31"/>
      <c r="K17" s="31"/>
      <c r="L17" s="74">
        <v>2025</v>
      </c>
      <c r="M17" s="75" t="s">
        <v>40</v>
      </c>
      <c r="N17" s="59">
        <v>13280447</v>
      </c>
      <c r="O17" s="59">
        <f>500000*4</f>
        <v>2000000</v>
      </c>
      <c r="P17" s="72">
        <f>+N17+O17</f>
        <v>15280447</v>
      </c>
      <c r="Q17" s="49">
        <f>+N17*R17</f>
        <v>533873.96939999994</v>
      </c>
      <c r="R17" s="76">
        <v>4.02E-2</v>
      </c>
      <c r="S17" s="76">
        <v>0.1144</v>
      </c>
      <c r="T17" s="49">
        <f>+Q17/12</f>
        <v>44489.497449999995</v>
      </c>
      <c r="U17" s="82"/>
      <c r="V17" s="97">
        <v>109547</v>
      </c>
      <c r="W17" s="97">
        <v>138397</v>
      </c>
      <c r="X17" s="97">
        <v>173074</v>
      </c>
      <c r="Y17" s="77">
        <f>SUM(U17:X17)</f>
        <v>421018</v>
      </c>
    </row>
    <row r="18" spans="1:29" ht="15.6" x14ac:dyDescent="0.4">
      <c r="A18" s="32" t="s">
        <v>41</v>
      </c>
      <c r="B18" s="32" t="s">
        <v>42</v>
      </c>
      <c r="C18" s="33" t="e" vm="2">
        <v>#VALUE!</v>
      </c>
      <c r="D18" s="34" cm="1">
        <f t="array" ref="D18">_FV(C18,"Price")</f>
        <v>31.29</v>
      </c>
      <c r="E18" s="35">
        <f ca="1">+SUMIF($B$21:$B$1831,B18,$E$21:$E$1002)</f>
        <v>476</v>
      </c>
      <c r="F18" s="34">
        <f t="shared" ref="F18" ca="1" si="1">+D18*E18</f>
        <v>14894.039999999999</v>
      </c>
      <c r="G18" s="36">
        <f ca="1">+F18*$D$16</f>
        <v>21682743.431999996</v>
      </c>
      <c r="H18" s="37">
        <f>+SUM(H21:H945)</f>
        <v>17120209</v>
      </c>
      <c r="I18" s="16">
        <f ca="1">+G18/H18-1</f>
        <v>0.26649992602309913</v>
      </c>
      <c r="L18" s="74">
        <v>2026</v>
      </c>
      <c r="M18" s="75" t="s">
        <v>43</v>
      </c>
      <c r="N18" s="49">
        <f>+P17+Q17</f>
        <v>15814320.9694</v>
      </c>
      <c r="O18" s="59">
        <v>6000000</v>
      </c>
      <c r="P18" s="49">
        <f>+N18+O18</f>
        <v>21814320.9694</v>
      </c>
      <c r="Q18" s="49">
        <f>+(N18+O18/2)*R18</f>
        <v>842860.50738963427</v>
      </c>
      <c r="R18" s="78">
        <f>+R17*(1+$S$17)</f>
        <v>4.4798879999999999E-2</v>
      </c>
      <c r="S18" s="75"/>
      <c r="T18" s="49">
        <f t="shared" ref="T18:T20" si="2">+Q18/12</f>
        <v>70238.375615802855</v>
      </c>
      <c r="U18" s="96">
        <v>174571</v>
      </c>
      <c r="V18" s="52">
        <f>+($N18+U$13+V$13+U18)*$R18/4</f>
        <v>212670.27316752856</v>
      </c>
      <c r="W18" s="52">
        <f t="shared" ref="W18:W24" si="3">+($N18+U$13+V$13+W$13+V18)*$R18/4</f>
        <v>229896.55435920838</v>
      </c>
      <c r="X18" s="52">
        <f t="shared" ref="X18:X24" si="4">+($N18+U$13+V$13+W$13+X$13+W18)*$R18/4</f>
        <v>246889.06388519649</v>
      </c>
      <c r="Y18" s="77">
        <f t="shared" ref="Y18:Y24" si="5">SUM(U18:X18)</f>
        <v>864026.89141193347</v>
      </c>
    </row>
    <row r="19" spans="1:29" ht="15.6" x14ac:dyDescent="0.4">
      <c r="A19" s="69" t="s">
        <v>195</v>
      </c>
      <c r="F19" s="38"/>
      <c r="G19" s="39"/>
      <c r="L19" s="74">
        <v>2027</v>
      </c>
      <c r="M19" s="75" t="s">
        <v>44</v>
      </c>
      <c r="N19" s="49">
        <f>+P18+Q18</f>
        <v>22657181.476789635</v>
      </c>
      <c r="O19" s="59">
        <v>6000000</v>
      </c>
      <c r="P19" s="49">
        <f t="shared" ref="P19:P20" si="6">+N19+O19</f>
        <v>28657181.476789635</v>
      </c>
      <c r="Q19" s="49">
        <f t="shared" ref="Q19:Q20" si="7">+(N19+O19/2)*R19</f>
        <v>1280905.8406438974</v>
      </c>
      <c r="R19" s="78">
        <f>+R18*(1+$S$17)</f>
        <v>4.9923871872000002E-2</v>
      </c>
      <c r="S19" s="75"/>
      <c r="T19" s="49">
        <f t="shared" si="2"/>
        <v>106742.15338699146</v>
      </c>
      <c r="U19" s="83">
        <f t="shared" ref="U19:U24" si="8">+($N19+U$13+X18)*$R19/4</f>
        <v>304586.42270697502</v>
      </c>
      <c r="V19" s="52">
        <f t="shared" ref="V19:V24" si="9">+($N19+U$13+V$13+U19)*$R19/4</f>
        <v>324027.99354626785</v>
      </c>
      <c r="W19" s="52">
        <f t="shared" si="3"/>
        <v>342992.09512116062</v>
      </c>
      <c r="X19" s="52">
        <f t="shared" si="4"/>
        <v>361950.23741745879</v>
      </c>
      <c r="Y19" s="77">
        <f t="shared" si="5"/>
        <v>1333556.7487918623</v>
      </c>
    </row>
    <row r="20" spans="1:29" ht="15.6" x14ac:dyDescent="0.4">
      <c r="A20" s="89" t="s">
        <v>45</v>
      </c>
      <c r="B20" s="89" t="s">
        <v>46</v>
      </c>
      <c r="C20" s="89" t="s">
        <v>34</v>
      </c>
      <c r="D20" s="89" t="s">
        <v>47</v>
      </c>
      <c r="E20" s="89" t="s">
        <v>48</v>
      </c>
      <c r="F20" s="89" t="s">
        <v>49</v>
      </c>
      <c r="G20" s="89" t="s">
        <v>50</v>
      </c>
      <c r="H20" s="89" t="s">
        <v>39</v>
      </c>
      <c r="I20" s="89" t="s">
        <v>302</v>
      </c>
      <c r="J20" s="40"/>
      <c r="K20" s="40"/>
      <c r="L20" s="74">
        <v>2028</v>
      </c>
      <c r="M20" s="75" t="s">
        <v>51</v>
      </c>
      <c r="N20" s="49">
        <f t="shared" ref="N20" si="10">+P19+Q19</f>
        <v>29938087.317433532</v>
      </c>
      <c r="O20" s="59">
        <v>6000000</v>
      </c>
      <c r="P20" s="49">
        <f t="shared" si="6"/>
        <v>35938087.317433536</v>
      </c>
      <c r="Q20" s="49">
        <f t="shared" si="7"/>
        <v>1832515.8506923281</v>
      </c>
      <c r="R20" s="78">
        <f t="shared" ref="R20:R41" si="11">+R19*(1+$S$17)</f>
        <v>5.5635162814156806E-2</v>
      </c>
      <c r="S20" s="75"/>
      <c r="T20" s="49">
        <f t="shared" si="2"/>
        <v>152709.65422436068</v>
      </c>
      <c r="U20" s="83">
        <f t="shared" si="8"/>
        <v>442300.06671510899</v>
      </c>
      <c r="V20" s="52">
        <f t="shared" si="9"/>
        <v>464280.8217291839</v>
      </c>
      <c r="W20" s="52">
        <f t="shared" si="3"/>
        <v>485449.73350548925</v>
      </c>
      <c r="X20" s="52">
        <f t="shared" si="4"/>
        <v>506607.35352411633</v>
      </c>
      <c r="Y20" s="77">
        <f t="shared" si="5"/>
        <v>1898637.9754738985</v>
      </c>
    </row>
    <row r="21" spans="1:29" ht="15.6" x14ac:dyDescent="0.4">
      <c r="A21" s="41" t="s">
        <v>5</v>
      </c>
      <c r="B21" s="5" t="s">
        <v>52</v>
      </c>
      <c r="C21" s="3" t="e" vm="2">
        <v>#VALUE!</v>
      </c>
      <c r="D21" s="42">
        <v>45838</v>
      </c>
      <c r="E21" s="43">
        <v>316</v>
      </c>
      <c r="F21" s="44">
        <v>26.036993670886076</v>
      </c>
      <c r="G21" s="45">
        <f t="shared" ref="G21:G51" si="12">+E21*F21</f>
        <v>8227.69</v>
      </c>
      <c r="H21" s="46">
        <v>10558455</v>
      </c>
      <c r="I21" s="45" t="s">
        <v>53</v>
      </c>
      <c r="J21" s="45"/>
      <c r="K21" s="45"/>
      <c r="L21" s="74">
        <v>2029</v>
      </c>
      <c r="M21" s="75" t="s">
        <v>54</v>
      </c>
      <c r="N21" s="49">
        <f>+P20+Q20</f>
        <v>37770603.168125868</v>
      </c>
      <c r="O21" s="59">
        <v>6000000</v>
      </c>
      <c r="P21" s="49">
        <f>+N21+O21</f>
        <v>43770603.168125868</v>
      </c>
      <c r="Q21" s="49">
        <f>+(N21+O21/2)*R21</f>
        <v>2527770.2795112431</v>
      </c>
      <c r="R21" s="78">
        <f t="shared" si="11"/>
        <v>6.199982544009635E-2</v>
      </c>
      <c r="S21" s="75"/>
      <c r="T21" s="49">
        <f>+Q21/12</f>
        <v>210647.52329260358</v>
      </c>
      <c r="U21" s="83">
        <f t="shared" si="8"/>
        <v>616545.02720906574</v>
      </c>
      <c r="V21" s="52">
        <f t="shared" si="9"/>
        <v>641498.99089354114</v>
      </c>
      <c r="W21" s="52">
        <f t="shared" si="3"/>
        <v>665135.71078169625</v>
      </c>
      <c r="X21" s="52">
        <f t="shared" si="4"/>
        <v>688752.01344849286</v>
      </c>
      <c r="Y21" s="77">
        <f t="shared" si="5"/>
        <v>2611931.7423327956</v>
      </c>
    </row>
    <row r="22" spans="1:29" ht="15.6" x14ac:dyDescent="0.4">
      <c r="A22" s="41" t="s">
        <v>5</v>
      </c>
      <c r="B22" s="5" t="s">
        <v>52</v>
      </c>
      <c r="C22" s="3" t="e" vm="2">
        <v>#VALUE!</v>
      </c>
      <c r="D22" s="42">
        <v>45873</v>
      </c>
      <c r="E22" s="47">
        <v>13</v>
      </c>
      <c r="F22" s="44">
        <v>26.61</v>
      </c>
      <c r="G22" s="45">
        <f t="shared" si="12"/>
        <v>345.93</v>
      </c>
      <c r="H22" s="46">
        <v>484059.0625</v>
      </c>
      <c r="I22" s="6" t="s">
        <v>55</v>
      </c>
      <c r="L22" s="74">
        <v>2030</v>
      </c>
      <c r="M22" s="75" t="s">
        <v>56</v>
      </c>
      <c r="N22" s="49">
        <f>+P21+Q21</f>
        <v>46298373.447637111</v>
      </c>
      <c r="O22" s="59">
        <v>6000000</v>
      </c>
      <c r="P22" s="49">
        <f>+N22+O22</f>
        <v>52298373.447637111</v>
      </c>
      <c r="Q22" s="49">
        <f>+(N22+O22/2)*R22</f>
        <v>3406153.0669521727</v>
      </c>
      <c r="R22" s="78">
        <f t="shared" si="11"/>
        <v>6.909260547044338E-2</v>
      </c>
      <c r="S22" s="75"/>
      <c r="T22" s="49">
        <f>+Q22/12</f>
        <v>283846.08891268104</v>
      </c>
      <c r="U22" s="83">
        <f t="shared" si="8"/>
        <v>837525.4574696694</v>
      </c>
      <c r="V22" s="52">
        <f t="shared" si="9"/>
        <v>866004.97073914425</v>
      </c>
      <c r="W22" s="52">
        <f t="shared" si="3"/>
        <v>892406.62873413996</v>
      </c>
      <c r="X22" s="52">
        <f t="shared" si="4"/>
        <v>918772.39562045981</v>
      </c>
      <c r="Y22" s="77">
        <f t="shared" si="5"/>
        <v>3514709.4525634134</v>
      </c>
    </row>
    <row r="23" spans="1:29" s="19" customFormat="1" ht="16.2" thickBot="1" x14ac:dyDescent="0.45">
      <c r="A23" s="48" t="s">
        <v>6</v>
      </c>
      <c r="B23" s="5" t="s">
        <v>52</v>
      </c>
      <c r="C23" s="3" t="e" vm="2">
        <v>#VALUE!</v>
      </c>
      <c r="D23" s="42">
        <v>45873</v>
      </c>
      <c r="E23" s="47">
        <v>3</v>
      </c>
      <c r="F23" s="44">
        <f>+F22</f>
        <v>26.61</v>
      </c>
      <c r="G23" s="45">
        <f t="shared" si="12"/>
        <v>79.83</v>
      </c>
      <c r="H23" s="46">
        <v>111705.9375</v>
      </c>
      <c r="I23" s="6" t="s">
        <v>57</v>
      </c>
      <c r="J23" s="6"/>
      <c r="K23" s="6"/>
      <c r="L23" s="74">
        <v>2031</v>
      </c>
      <c r="M23" s="75" t="s">
        <v>58</v>
      </c>
      <c r="N23" s="49">
        <f>+P22+Q22</f>
        <v>55704526.51458928</v>
      </c>
      <c r="O23" s="59">
        <v>6000000</v>
      </c>
      <c r="P23" s="49">
        <f>+N23+O23</f>
        <v>61704526.51458928</v>
      </c>
      <c r="Q23" s="49">
        <f>+(N23+O23/2)*R23</f>
        <v>4520060.6599150142</v>
      </c>
      <c r="R23" s="78">
        <f t="shared" si="11"/>
        <v>7.6996799536262109E-2</v>
      </c>
      <c r="S23" s="75"/>
      <c r="T23" s="49">
        <f>+Q23/12</f>
        <v>376671.72165958449</v>
      </c>
      <c r="U23" s="83">
        <f t="shared" si="8"/>
        <v>1118826.9986439152</v>
      </c>
      <c r="V23" s="52">
        <f t="shared" si="9"/>
        <v>1151551.6895113394</v>
      </c>
      <c r="W23" s="52">
        <f t="shared" si="3"/>
        <v>1181055.4134530891</v>
      </c>
      <c r="X23" s="52">
        <f t="shared" si="4"/>
        <v>1210497.1363586662</v>
      </c>
      <c r="Y23" s="77">
        <f t="shared" si="5"/>
        <v>4661931.2379670097</v>
      </c>
      <c r="Z23" s="6"/>
      <c r="AA23" s="6"/>
      <c r="AB23" s="6"/>
      <c r="AC23" s="6"/>
    </row>
    <row r="24" spans="1:29" ht="16.2" thickBot="1" x14ac:dyDescent="0.45">
      <c r="A24" s="41" t="s">
        <v>5</v>
      </c>
      <c r="B24" s="5" t="s">
        <v>42</v>
      </c>
      <c r="C24" s="3" t="e" vm="2">
        <v>#VALUE!</v>
      </c>
      <c r="D24" s="42">
        <v>45900</v>
      </c>
      <c r="E24" s="47">
        <v>18</v>
      </c>
      <c r="F24" s="44">
        <v>27.92</v>
      </c>
      <c r="G24" s="45">
        <f t="shared" si="12"/>
        <v>502.56000000000006</v>
      </c>
      <c r="H24" s="46">
        <v>697854</v>
      </c>
      <c r="I24" s="6" t="s">
        <v>59</v>
      </c>
      <c r="L24" s="74">
        <v>2032</v>
      </c>
      <c r="M24" s="75" t="s">
        <v>60</v>
      </c>
      <c r="N24" s="49">
        <f>+P23+Q23</f>
        <v>66224587.174504295</v>
      </c>
      <c r="O24" s="59">
        <v>6000000</v>
      </c>
      <c r="P24" s="49">
        <f>+N24+O24</f>
        <v>72224587.174504295</v>
      </c>
      <c r="Q24" s="49">
        <f>+(N24+O24/2)*R24</f>
        <v>5939831.8597492334</v>
      </c>
      <c r="R24" s="50">
        <f t="shared" si="11"/>
        <v>8.5805233403210501E-2</v>
      </c>
      <c r="S24" s="75"/>
      <c r="T24" s="51">
        <f>+Q24/12</f>
        <v>494985.98831243609</v>
      </c>
      <c r="U24" s="52">
        <f t="shared" si="8"/>
        <v>1478747.7497408977</v>
      </c>
      <c r="V24" s="52">
        <f t="shared" si="9"/>
        <v>1516679.0388900558</v>
      </c>
      <c r="W24" s="52">
        <f t="shared" si="3"/>
        <v>1549669.6771959416</v>
      </c>
      <c r="X24" s="52">
        <f t="shared" si="4"/>
        <v>1582554.3320771349</v>
      </c>
      <c r="Y24" s="77">
        <f t="shared" si="5"/>
        <v>6127650.7979040295</v>
      </c>
      <c r="Z24" s="23"/>
    </row>
    <row r="25" spans="1:29" ht="15.6" x14ac:dyDescent="0.4">
      <c r="A25" s="41" t="s">
        <v>5</v>
      </c>
      <c r="B25" s="5" t="s">
        <v>42</v>
      </c>
      <c r="C25" s="3" t="e" vm="2">
        <v>#VALUE!</v>
      </c>
      <c r="D25" s="42">
        <v>45923</v>
      </c>
      <c r="E25" s="47">
        <v>29</v>
      </c>
      <c r="F25" s="44">
        <v>27.42</v>
      </c>
      <c r="G25" s="45">
        <f t="shared" si="12"/>
        <v>795.18000000000006</v>
      </c>
      <c r="H25" s="46">
        <v>1108480</v>
      </c>
      <c r="I25" s="6" t="s">
        <v>61</v>
      </c>
      <c r="L25" s="74">
        <v>2033</v>
      </c>
      <c r="M25" s="75" t="s">
        <v>62</v>
      </c>
      <c r="N25" s="49">
        <f t="shared" ref="N25:N41" si="13">+P24+Q24</f>
        <v>78164419.034253523</v>
      </c>
      <c r="O25" s="59">
        <v>6000000</v>
      </c>
      <c r="P25" s="49">
        <f t="shared" ref="P25:P41" si="14">+N25+O25</f>
        <v>84164419.034253523</v>
      </c>
      <c r="Q25" s="49">
        <f t="shared" ref="Q25:Q41" si="15">+(N25+O25/2)*R25</f>
        <v>7761051.4908346049</v>
      </c>
      <c r="R25" s="50">
        <f t="shared" si="11"/>
        <v>9.5621352104537788E-2</v>
      </c>
      <c r="S25" s="75"/>
      <c r="T25" s="53">
        <f t="shared" ref="T25:T41" si="16">+Q25/12</f>
        <v>646754.29090288375</v>
      </c>
      <c r="U25" s="83">
        <f t="shared" ref="U25:U41" si="17">+($N25+U$14+X24)*$R25/4</f>
        <v>1906378.3548832752</v>
      </c>
      <c r="V25" s="52">
        <f t="shared" ref="V25:V41" si="18">+($N25+U$14+V$14+U25)*$R25/4</f>
        <v>1914119.4776094386</v>
      </c>
      <c r="W25" s="52">
        <f t="shared" ref="W25:W41" si="19">+($N25+U$14+V$14+W$14+V25)*$R25/4</f>
        <v>1914304.5317649094</v>
      </c>
      <c r="X25" s="52">
        <f t="shared" ref="X25:X41" si="20">+($N25+U$14+V$14+W$14+X$14+W25)*$R25/4</f>
        <v>1914308.9555470492</v>
      </c>
      <c r="Y25" s="77">
        <f t="shared" ref="Y25:Y41" si="21">SUM(U25:X25)</f>
        <v>7649111.3198046722</v>
      </c>
    </row>
    <row r="26" spans="1:29" ht="16.2" thickBot="1" x14ac:dyDescent="0.45">
      <c r="A26" s="48" t="str">
        <f>+A23</f>
        <v>배당재투자</v>
      </c>
      <c r="B26" s="5" t="s">
        <v>42</v>
      </c>
      <c r="C26" s="3" t="e" vm="2">
        <v>#VALUE!</v>
      </c>
      <c r="D26" s="42">
        <v>45932</v>
      </c>
      <c r="E26" s="47">
        <v>4</v>
      </c>
      <c r="F26" s="44">
        <v>27.34</v>
      </c>
      <c r="G26" s="45">
        <f t="shared" si="12"/>
        <v>109.36</v>
      </c>
      <c r="H26" s="46">
        <v>153760</v>
      </c>
      <c r="L26" s="79">
        <v>2034</v>
      </c>
      <c r="M26" s="54" t="s">
        <v>63</v>
      </c>
      <c r="N26" s="55">
        <f t="shared" si="13"/>
        <v>91925470.525088131</v>
      </c>
      <c r="O26" s="56">
        <v>6000000</v>
      </c>
      <c r="P26" s="55">
        <f t="shared" si="14"/>
        <v>97925470.525088131</v>
      </c>
      <c r="Q26" s="55">
        <f t="shared" si="15"/>
        <v>10115299.411352279</v>
      </c>
      <c r="R26" s="57">
        <f t="shared" si="11"/>
        <v>0.10656043478529692</v>
      </c>
      <c r="S26" s="54"/>
      <c r="T26" s="53">
        <f t="shared" si="16"/>
        <v>842941.61761268985</v>
      </c>
      <c r="U26" s="84">
        <f t="shared" si="17"/>
        <v>2499901.9254032173</v>
      </c>
      <c r="V26" s="58">
        <f t="shared" si="18"/>
        <v>2515502.1857719892</v>
      </c>
      <c r="W26" s="58">
        <f t="shared" si="19"/>
        <v>2515917.7784039038</v>
      </c>
      <c r="X26" s="58">
        <f t="shared" si="20"/>
        <v>2515928.8498367919</v>
      </c>
      <c r="Y26" s="80">
        <f t="shared" si="21"/>
        <v>10047250.739415903</v>
      </c>
    </row>
    <row r="27" spans="1:29" s="19" customFormat="1" ht="16.2" thickBot="1" x14ac:dyDescent="0.45">
      <c r="A27" s="41" t="s">
        <v>5</v>
      </c>
      <c r="B27" s="5" t="s">
        <v>42</v>
      </c>
      <c r="C27" s="3" t="e" vm="2">
        <v>#VALUE!</v>
      </c>
      <c r="D27" s="42">
        <v>45993</v>
      </c>
      <c r="E27" s="47">
        <v>27</v>
      </c>
      <c r="F27" s="44">
        <v>27.4</v>
      </c>
      <c r="G27" s="45">
        <f t="shared" si="12"/>
        <v>739.8</v>
      </c>
      <c r="H27" s="46">
        <v>1086840</v>
      </c>
      <c r="I27" s="6" t="s">
        <v>64</v>
      </c>
      <c r="J27" s="6"/>
      <c r="K27" s="6"/>
      <c r="L27" s="74">
        <v>2035</v>
      </c>
      <c r="M27" s="75" t="s">
        <v>65</v>
      </c>
      <c r="N27" s="49">
        <f t="shared" si="13"/>
        <v>108040769.93644041</v>
      </c>
      <c r="O27" s="59"/>
      <c r="P27" s="49">
        <f t="shared" si="14"/>
        <v>108040769.93644041</v>
      </c>
      <c r="Q27" s="49">
        <f t="shared" si="15"/>
        <v>12829943.909294959</v>
      </c>
      <c r="R27" s="50">
        <f t="shared" si="11"/>
        <v>0.11875094852473489</v>
      </c>
      <c r="S27" s="75"/>
      <c r="T27" s="51">
        <f t="shared" si="16"/>
        <v>1069161.9924412465</v>
      </c>
      <c r="U27" s="52">
        <f t="shared" si="17"/>
        <v>3282178.2116584564</v>
      </c>
      <c r="V27" s="52">
        <f t="shared" si="18"/>
        <v>3304926.4212891553</v>
      </c>
      <c r="W27" s="52">
        <f t="shared" si="19"/>
        <v>3305601.7641568761</v>
      </c>
      <c r="X27" s="52">
        <f t="shared" si="20"/>
        <v>3305621.8135584067</v>
      </c>
      <c r="Y27" s="77">
        <f t="shared" si="21"/>
        <v>13198328.210662894</v>
      </c>
    </row>
    <row r="28" spans="1:29" ht="16.2" thickBot="1" x14ac:dyDescent="0.45">
      <c r="A28" s="41" t="str">
        <f>+A27</f>
        <v>원금매수</v>
      </c>
      <c r="B28" s="5" t="s">
        <v>42</v>
      </c>
      <c r="C28" s="3" t="e" vm="2">
        <v>#VALUE!</v>
      </c>
      <c r="D28" s="42">
        <v>45994</v>
      </c>
      <c r="E28" s="47">
        <v>2</v>
      </c>
      <c r="F28" s="44">
        <v>27.51</v>
      </c>
      <c r="G28" s="45">
        <f t="shared" si="12"/>
        <v>55.02</v>
      </c>
      <c r="H28" s="46">
        <v>80857</v>
      </c>
      <c r="I28" s="6" t="str">
        <f>+I31</f>
        <v>자투리 현금 매수</v>
      </c>
      <c r="L28" s="74">
        <v>2036</v>
      </c>
      <c r="M28" s="75" t="s">
        <v>66</v>
      </c>
      <c r="N28" s="49">
        <f t="shared" si="13"/>
        <v>120870713.84573537</v>
      </c>
      <c r="O28" s="59"/>
      <c r="P28" s="49">
        <f t="shared" si="14"/>
        <v>120870713.84573537</v>
      </c>
      <c r="Q28" s="49">
        <f t="shared" si="15"/>
        <v>15995553.681466989</v>
      </c>
      <c r="R28" s="50">
        <f t="shared" si="11"/>
        <v>0.13233605703596457</v>
      </c>
      <c r="S28" s="75"/>
      <c r="T28" s="53">
        <f t="shared" si="16"/>
        <v>1332962.8067889158</v>
      </c>
      <c r="U28" s="83">
        <f t="shared" si="17"/>
        <v>4108251.6595813455</v>
      </c>
      <c r="V28" s="52">
        <f t="shared" si="18"/>
        <v>4134805.8768518604</v>
      </c>
      <c r="W28" s="52">
        <f t="shared" si="19"/>
        <v>4135684.3969546743</v>
      </c>
      <c r="X28" s="52">
        <f t="shared" si="20"/>
        <v>4135713.4619262828</v>
      </c>
      <c r="Y28" s="77">
        <f t="shared" si="21"/>
        <v>16514455.395314163</v>
      </c>
      <c r="Z28" s="19"/>
      <c r="AA28" s="19"/>
    </row>
    <row r="29" spans="1:29" s="19" customFormat="1" ht="16.2" thickBot="1" x14ac:dyDescent="0.45">
      <c r="A29" s="41" t="str">
        <f>+A27</f>
        <v>원금매수</v>
      </c>
      <c r="B29" s="5" t="s">
        <v>42</v>
      </c>
      <c r="C29" s="3" t="e" vm="2">
        <v>#VALUE!</v>
      </c>
      <c r="D29" s="42">
        <v>46000</v>
      </c>
      <c r="E29" s="47">
        <v>10</v>
      </c>
      <c r="F29" s="44">
        <v>27.59</v>
      </c>
      <c r="G29" s="45">
        <f t="shared" si="12"/>
        <v>275.89999999999998</v>
      </c>
      <c r="H29" s="46">
        <v>405297</v>
      </c>
      <c r="I29" s="6"/>
      <c r="J29" s="6"/>
      <c r="K29" s="6"/>
      <c r="L29" s="74">
        <v>2037</v>
      </c>
      <c r="M29" s="75" t="s">
        <v>67</v>
      </c>
      <c r="N29" s="49">
        <f t="shared" si="13"/>
        <v>136866267.52720237</v>
      </c>
      <c r="O29" s="59"/>
      <c r="P29" s="49">
        <f t="shared" si="14"/>
        <v>136866267.52720237</v>
      </c>
      <c r="Q29" s="60">
        <f t="shared" si="15"/>
        <v>20184394.131832607</v>
      </c>
      <c r="R29" s="50">
        <f t="shared" si="11"/>
        <v>0.14747530196087894</v>
      </c>
      <c r="S29" s="75"/>
      <c r="T29" s="53">
        <f t="shared" si="16"/>
        <v>1682032.8443193838</v>
      </c>
      <c r="U29" s="83">
        <f t="shared" si="17"/>
        <v>5198577.4308634643</v>
      </c>
      <c r="V29" s="52">
        <f t="shared" si="18"/>
        <v>5237763.9770540521</v>
      </c>
      <c r="W29" s="52">
        <f>+($N29+U$14+V$14+W$14+V29)*$R29/4</f>
        <v>5239208.7389871171</v>
      </c>
      <c r="X29" s="52">
        <f t="shared" si="20"/>
        <v>5239262.005662702</v>
      </c>
      <c r="Y29" s="77">
        <f t="shared" si="21"/>
        <v>20914812.152567334</v>
      </c>
      <c r="Z29" s="23"/>
    </row>
    <row r="30" spans="1:29" s="19" customFormat="1" ht="15.6" x14ac:dyDescent="0.4">
      <c r="A30" s="48" t="s">
        <v>6</v>
      </c>
      <c r="B30" s="5" t="s">
        <v>42</v>
      </c>
      <c r="C30" s="3" t="e" vm="2">
        <v>#VALUE!</v>
      </c>
      <c r="D30" s="42">
        <v>46007</v>
      </c>
      <c r="E30" s="47">
        <v>4</v>
      </c>
      <c r="F30" s="44">
        <v>27.47</v>
      </c>
      <c r="G30" s="45">
        <f t="shared" si="12"/>
        <v>109.88</v>
      </c>
      <c r="H30" s="46">
        <v>161974</v>
      </c>
      <c r="I30" s="6" t="s">
        <v>68</v>
      </c>
      <c r="J30" s="6"/>
      <c r="K30" s="6"/>
      <c r="L30" s="74">
        <v>2038</v>
      </c>
      <c r="M30" s="75" t="s">
        <v>69</v>
      </c>
      <c r="N30" s="49">
        <f t="shared" si="13"/>
        <v>157050661.65903497</v>
      </c>
      <c r="O30" s="59"/>
      <c r="P30" s="49">
        <f t="shared" si="14"/>
        <v>157050661.65903497</v>
      </c>
      <c r="Q30" s="49">
        <f t="shared" si="15"/>
        <v>25810722.876473252</v>
      </c>
      <c r="R30" s="50">
        <f t="shared" si="11"/>
        <v>0.16434647650520348</v>
      </c>
      <c r="S30" s="75"/>
      <c r="T30" s="53">
        <f t="shared" si="16"/>
        <v>2150893.5730394376</v>
      </c>
      <c r="U30" s="83">
        <f t="shared" si="17"/>
        <v>6667944.2816478759</v>
      </c>
      <c r="V30" s="52">
        <f t="shared" si="18"/>
        <v>6726644.0061737746</v>
      </c>
      <c r="W30" s="52">
        <f t="shared" si="19"/>
        <v>6729055.7793981899</v>
      </c>
      <c r="X30" s="52">
        <f t="shared" si="20"/>
        <v>6729154.8710060809</v>
      </c>
      <c r="Y30" s="77">
        <f t="shared" si="21"/>
        <v>26852798.938225918</v>
      </c>
      <c r="Z30" s="23"/>
    </row>
    <row r="31" spans="1:29" s="19" customFormat="1" ht="16.2" thickBot="1" x14ac:dyDescent="0.45">
      <c r="A31" s="41" t="s">
        <v>5</v>
      </c>
      <c r="B31" s="5" t="s">
        <v>42</v>
      </c>
      <c r="C31" s="3" t="e" vm="2">
        <v>#VALUE!</v>
      </c>
      <c r="D31" s="42">
        <v>46015</v>
      </c>
      <c r="E31" s="47">
        <v>1</v>
      </c>
      <c r="F31" s="44">
        <v>27.56</v>
      </c>
      <c r="G31" s="45">
        <f t="shared" si="12"/>
        <v>27.56</v>
      </c>
      <c r="H31" s="46">
        <v>40882</v>
      </c>
      <c r="I31" s="6" t="s">
        <v>70</v>
      </c>
      <c r="J31" s="6"/>
      <c r="K31" s="6"/>
      <c r="L31" s="74">
        <v>2039</v>
      </c>
      <c r="M31" s="75" t="s">
        <v>71</v>
      </c>
      <c r="N31" s="49">
        <f t="shared" si="13"/>
        <v>182861384.53550822</v>
      </c>
      <c r="O31" s="59"/>
      <c r="P31" s="49">
        <f t="shared" si="14"/>
        <v>182861384.53550822</v>
      </c>
      <c r="Q31" s="49">
        <f t="shared" si="15"/>
        <v>33490644.450018015</v>
      </c>
      <c r="R31" s="50">
        <f t="shared" si="11"/>
        <v>0.18314771341739877</v>
      </c>
      <c r="S31" s="75"/>
      <c r="T31" s="53">
        <f t="shared" si="16"/>
        <v>2790887.0375015014</v>
      </c>
      <c r="U31" s="83">
        <f t="shared" si="17"/>
        <v>8680768.444468582</v>
      </c>
      <c r="V31" s="52">
        <f t="shared" si="18"/>
        <v>8770126.8353320863</v>
      </c>
      <c r="W31" s="52">
        <f t="shared" si="19"/>
        <v>8774218.2815724146</v>
      </c>
      <c r="X31" s="52">
        <f t="shared" si="20"/>
        <v>8774405.6163282841</v>
      </c>
      <c r="Y31" s="77">
        <f t="shared" si="21"/>
        <v>34999519.177701369</v>
      </c>
      <c r="Z31" s="6"/>
    </row>
    <row r="32" spans="1:29" ht="16.2" thickBot="1" x14ac:dyDescent="0.45">
      <c r="A32" s="41" t="s">
        <v>5</v>
      </c>
      <c r="B32" s="5" t="s">
        <v>42</v>
      </c>
      <c r="C32" s="3" t="e" vm="2">
        <v>#VALUE!</v>
      </c>
      <c r="D32" s="42">
        <v>46056</v>
      </c>
      <c r="E32" s="47">
        <v>9</v>
      </c>
      <c r="F32" s="44">
        <v>29.98</v>
      </c>
      <c r="G32" s="45">
        <f t="shared" si="12"/>
        <v>269.82</v>
      </c>
      <c r="H32" s="46">
        <v>393208</v>
      </c>
      <c r="I32" s="6" t="s">
        <v>72</v>
      </c>
      <c r="L32" s="79">
        <v>2040</v>
      </c>
      <c r="M32" s="54" t="s">
        <v>73</v>
      </c>
      <c r="N32" s="55">
        <f t="shared" si="13"/>
        <v>216352028.98552623</v>
      </c>
      <c r="O32" s="56"/>
      <c r="P32" s="55">
        <f t="shared" si="14"/>
        <v>216352028.98552623</v>
      </c>
      <c r="Q32" s="55">
        <f t="shared" si="15"/>
        <v>44157408.405492865</v>
      </c>
      <c r="R32" s="57">
        <f t="shared" si="11"/>
        <v>0.20409981183234921</v>
      </c>
      <c r="S32" s="54"/>
      <c r="T32" s="51">
        <f t="shared" si="16"/>
        <v>3679784.0337910722</v>
      </c>
      <c r="U32" s="58">
        <f t="shared" si="17"/>
        <v>11487065.735181544</v>
      </c>
      <c r="V32" s="58">
        <f t="shared" si="18"/>
        <v>11625479.09013731</v>
      </c>
      <c r="W32" s="58">
        <f t="shared" si="19"/>
        <v>11632541.6250627</v>
      </c>
      <c r="X32" s="58">
        <f t="shared" si="20"/>
        <v>11632901.990575034</v>
      </c>
      <c r="Y32" s="80">
        <f t="shared" si="21"/>
        <v>46377988.440956593</v>
      </c>
    </row>
    <row r="33" spans="1:25" s="19" customFormat="1" ht="15.6" x14ac:dyDescent="0.4">
      <c r="A33" s="41" t="s">
        <v>5</v>
      </c>
      <c r="B33" s="5" t="s">
        <v>42</v>
      </c>
      <c r="C33" s="3" t="e" vm="2">
        <v>#VALUE!</v>
      </c>
      <c r="D33" s="42">
        <v>46065</v>
      </c>
      <c r="E33" s="47">
        <v>11</v>
      </c>
      <c r="F33" s="44">
        <v>31.67</v>
      </c>
      <c r="G33" s="45">
        <f t="shared" si="12"/>
        <v>348.37</v>
      </c>
      <c r="H33" s="46">
        <v>506669</v>
      </c>
      <c r="I33" s="6" t="s">
        <v>74</v>
      </c>
      <c r="J33" s="6"/>
      <c r="K33" s="6"/>
      <c r="L33" s="74">
        <v>2041</v>
      </c>
      <c r="M33" s="75" t="s">
        <v>75</v>
      </c>
      <c r="N33" s="49">
        <f t="shared" si="13"/>
        <v>260509437.39101911</v>
      </c>
      <c r="O33" s="59"/>
      <c r="P33" s="49">
        <f t="shared" si="14"/>
        <v>260509437.39101911</v>
      </c>
      <c r="Q33" s="49">
        <f t="shared" si="15"/>
        <v>59252566.818253614</v>
      </c>
      <c r="R33" s="50">
        <f t="shared" si="11"/>
        <v>0.22744883030596996</v>
      </c>
      <c r="S33" s="75"/>
      <c r="T33" s="53">
        <f t="shared" si="16"/>
        <v>4937713.9015211342</v>
      </c>
      <c r="U33" s="83">
        <f t="shared" si="17"/>
        <v>15474614.192268472</v>
      </c>
      <c r="V33" s="52">
        <f t="shared" si="18"/>
        <v>15693062.428930311</v>
      </c>
      <c r="W33" s="52">
        <f t="shared" si="19"/>
        <v>15705483.877908092</v>
      </c>
      <c r="X33" s="52">
        <f t="shared" si="20"/>
        <v>15706190.18891827</v>
      </c>
      <c r="Y33" s="77">
        <f t="shared" si="21"/>
        <v>62579350.688025139</v>
      </c>
    </row>
    <row r="34" spans="1:25" ht="15.6" x14ac:dyDescent="0.4">
      <c r="A34" s="41" t="s">
        <v>5</v>
      </c>
      <c r="B34" s="5" t="s">
        <v>42</v>
      </c>
      <c r="C34" s="3" t="e" vm="2">
        <v>#VALUE!</v>
      </c>
      <c r="D34" s="42">
        <v>46065</v>
      </c>
      <c r="E34" s="47">
        <v>2</v>
      </c>
      <c r="F34" s="44">
        <v>31.65</v>
      </c>
      <c r="G34" s="45">
        <f t="shared" si="12"/>
        <v>63.3</v>
      </c>
      <c r="H34" s="46">
        <v>92063</v>
      </c>
      <c r="I34" s="6" t="s">
        <v>70</v>
      </c>
      <c r="L34" s="74">
        <v>2042</v>
      </c>
      <c r="M34" s="75" t="s">
        <v>76</v>
      </c>
      <c r="N34" s="49">
        <f t="shared" si="13"/>
        <v>319762004.20927274</v>
      </c>
      <c r="O34" s="59"/>
      <c r="P34" s="49">
        <f t="shared" si="14"/>
        <v>319762004.20927274</v>
      </c>
      <c r="Q34" s="49">
        <f>+(N34+O34/2)*R34</f>
        <v>81049747.928266078</v>
      </c>
      <c r="R34" s="50">
        <f t="shared" si="11"/>
        <v>0.25346897649297295</v>
      </c>
      <c r="S34" s="75"/>
      <c r="T34" s="53">
        <f t="shared" si="16"/>
        <v>6754145.6606888399</v>
      </c>
      <c r="U34" s="83">
        <f t="shared" si="17"/>
        <v>21257694.97001379</v>
      </c>
      <c r="V34" s="52">
        <f t="shared" si="18"/>
        <v>21609478.52872882</v>
      </c>
      <c r="W34" s="52">
        <f t="shared" si="19"/>
        <v>21631770.083372463</v>
      </c>
      <c r="X34" s="52">
        <f t="shared" si="20"/>
        <v>21633182.63775745</v>
      </c>
      <c r="Y34" s="77">
        <f t="shared" si="21"/>
        <v>86132126.219872519</v>
      </c>
    </row>
    <row r="35" spans="1:25" ht="15.6" x14ac:dyDescent="0.4">
      <c r="A35" s="48" t="s">
        <v>6</v>
      </c>
      <c r="B35" s="5" t="s">
        <v>42</v>
      </c>
      <c r="C35" s="3" t="e" vm="2">
        <v>#VALUE!</v>
      </c>
      <c r="D35" s="42">
        <v>46113</v>
      </c>
      <c r="E35" s="47">
        <v>4</v>
      </c>
      <c r="F35" s="44">
        <v>30.52</v>
      </c>
      <c r="G35" s="45">
        <f t="shared" si="12"/>
        <v>122.08</v>
      </c>
      <c r="H35" s="46">
        <v>186843</v>
      </c>
      <c r="I35" s="6" t="s">
        <v>77</v>
      </c>
      <c r="L35" s="74">
        <v>2043</v>
      </c>
      <c r="M35" s="75" t="s">
        <v>78</v>
      </c>
      <c r="N35" s="49">
        <f t="shared" si="13"/>
        <v>400811752.13753879</v>
      </c>
      <c r="O35" s="59"/>
      <c r="P35" s="49">
        <f t="shared" si="14"/>
        <v>400811752.13753879</v>
      </c>
      <c r="Q35" s="49">
        <f t="shared" si="15"/>
        <v>113215623.20068431</v>
      </c>
      <c r="R35" s="50">
        <f t="shared" si="11"/>
        <v>0.28246582740376908</v>
      </c>
      <c r="S35" s="75"/>
      <c r="T35" s="53">
        <f t="shared" si="16"/>
        <v>9434635.2667236924</v>
      </c>
      <c r="U35" s="83">
        <f t="shared" si="17"/>
        <v>29831564.508458827</v>
      </c>
      <c r="V35" s="52">
        <f t="shared" si="18"/>
        <v>30410505.188078761</v>
      </c>
      <c r="W35" s="52">
        <f t="shared" si="19"/>
        <v>30451387.927600395</v>
      </c>
      <c r="X35" s="52">
        <f t="shared" si="20"/>
        <v>30454274.921811774</v>
      </c>
      <c r="Y35" s="77">
        <f t="shared" si="21"/>
        <v>121147732.54594976</v>
      </c>
    </row>
    <row r="36" spans="1:25" ht="15.6" x14ac:dyDescent="0.4">
      <c r="A36" s="41" t="s">
        <v>5</v>
      </c>
      <c r="B36" s="5" t="s">
        <v>42</v>
      </c>
      <c r="C36" s="3" t="e" vm="2">
        <v>#VALUE!</v>
      </c>
      <c r="D36" s="42">
        <v>46126</v>
      </c>
      <c r="E36" s="47">
        <v>23</v>
      </c>
      <c r="F36" s="44">
        <v>30.68</v>
      </c>
      <c r="G36" s="45">
        <f t="shared" si="12"/>
        <v>705.64</v>
      </c>
      <c r="H36" s="46">
        <v>1051262</v>
      </c>
      <c r="I36" s="6" t="s">
        <v>79</v>
      </c>
      <c r="L36" s="74">
        <v>2044</v>
      </c>
      <c r="M36" s="75" t="s">
        <v>80</v>
      </c>
      <c r="N36" s="49">
        <f t="shared" si="13"/>
        <v>514027375.3382231</v>
      </c>
      <c r="O36" s="59"/>
      <c r="P36" s="49">
        <f t="shared" si="14"/>
        <v>514027375.3382231</v>
      </c>
      <c r="Q36" s="49">
        <f t="shared" si="15"/>
        <v>161805495.08892548</v>
      </c>
      <c r="R36" s="50">
        <f t="shared" si="11"/>
        <v>0.31477991805876027</v>
      </c>
      <c r="S36" s="75"/>
      <c r="T36" s="53">
        <f t="shared" si="16"/>
        <v>13483791.257410457</v>
      </c>
      <c r="U36" s="83">
        <f t="shared" si="17"/>
        <v>42847972.313338086</v>
      </c>
      <c r="V36" s="52">
        <f t="shared" si="18"/>
        <v>43823294.07567551</v>
      </c>
      <c r="W36" s="52">
        <f t="shared" si="19"/>
        <v>43900047.001782887</v>
      </c>
      <c r="X36" s="52">
        <f t="shared" si="20"/>
        <v>43906087.071730606</v>
      </c>
      <c r="Y36" s="77">
        <f t="shared" si="21"/>
        <v>174477400.4625271</v>
      </c>
    </row>
    <row r="37" spans="1:25" ht="15.6" x14ac:dyDescent="0.4">
      <c r="B37" s="5" t="s">
        <v>42</v>
      </c>
      <c r="C37" s="3" t="e" vm="2">
        <v>#VALUE!</v>
      </c>
      <c r="D37" s="61"/>
      <c r="E37" s="61"/>
      <c r="F37" s="62" cm="1">
        <f t="array" ref="F37">_FV(C37,"Price")</f>
        <v>31.29</v>
      </c>
      <c r="G37" s="45">
        <f t="shared" si="12"/>
        <v>0</v>
      </c>
      <c r="H37" s="63">
        <f>+G37*$D$16</f>
        <v>0</v>
      </c>
      <c r="L37" s="74">
        <v>2045</v>
      </c>
      <c r="M37" s="75" t="s">
        <v>81</v>
      </c>
      <c r="N37" s="49">
        <f t="shared" si="13"/>
        <v>675832870.42714858</v>
      </c>
      <c r="O37" s="59"/>
      <c r="P37" s="49">
        <f t="shared" si="14"/>
        <v>675832870.42714858</v>
      </c>
      <c r="Q37" s="49">
        <f t="shared" si="15"/>
        <v>237075913.19619447</v>
      </c>
      <c r="R37" s="50">
        <f t="shared" si="11"/>
        <v>0.35079074068468247</v>
      </c>
      <c r="S37" s="75"/>
      <c r="T37" s="53">
        <f t="shared" si="16"/>
        <v>19756326.099682871</v>
      </c>
      <c r="U37" s="83">
        <f t="shared" si="17"/>
        <v>63119440.500163257</v>
      </c>
      <c r="V37" s="52">
        <f t="shared" si="18"/>
        <v>64804407.120212376</v>
      </c>
      <c r="W37" s="52">
        <f t="shared" si="19"/>
        <v>64952174.792381369</v>
      </c>
      <c r="X37" s="52">
        <f t="shared" si="20"/>
        <v>64965133.67517373</v>
      </c>
      <c r="Y37" s="77">
        <f t="shared" si="21"/>
        <v>257841156.08793074</v>
      </c>
    </row>
    <row r="38" spans="1:25" ht="15.6" x14ac:dyDescent="0.4">
      <c r="B38" s="5" t="s">
        <v>42</v>
      </c>
      <c r="C38" s="3" t="e" vm="2">
        <v>#VALUE!</v>
      </c>
      <c r="D38" s="61"/>
      <c r="E38" s="61"/>
      <c r="F38" s="62" cm="1">
        <f t="array" ref="F38">_FV(C38,"Price")</f>
        <v>31.29</v>
      </c>
      <c r="G38" s="45">
        <f t="shared" si="12"/>
        <v>0</v>
      </c>
      <c r="H38" s="63">
        <f t="shared" ref="H38:H51" si="22">+G38*$D$16</f>
        <v>0</v>
      </c>
      <c r="L38" s="74">
        <v>2046</v>
      </c>
      <c r="M38" s="75" t="s">
        <v>82</v>
      </c>
      <c r="N38" s="49">
        <f t="shared" si="13"/>
        <v>912908783.62334299</v>
      </c>
      <c r="O38" s="59"/>
      <c r="P38" s="49">
        <f t="shared" si="14"/>
        <v>912908783.62334299</v>
      </c>
      <c r="Q38" s="49">
        <f t="shared" si="15"/>
        <v>356875398.48000443</v>
      </c>
      <c r="R38" s="50">
        <f t="shared" si="11"/>
        <v>0.39092120141901016</v>
      </c>
      <c r="S38" s="75"/>
      <c r="T38" s="53">
        <f t="shared" si="16"/>
        <v>29739616.540000368</v>
      </c>
      <c r="U38" s="83">
        <f t="shared" si="17"/>
        <v>95567911.646662489</v>
      </c>
      <c r="V38" s="52">
        <f t="shared" si="18"/>
        <v>98558730.329505891</v>
      </c>
      <c r="W38" s="52">
        <f t="shared" si="19"/>
        <v>98851023.937686771</v>
      </c>
      <c r="X38" s="52">
        <f t="shared" si="20"/>
        <v>98879589.879806072</v>
      </c>
      <c r="Y38" s="77">
        <f t="shared" si="21"/>
        <v>391857255.79366124</v>
      </c>
    </row>
    <row r="39" spans="1:25" ht="15.6" x14ac:dyDescent="0.4">
      <c r="B39" s="5" t="s">
        <v>42</v>
      </c>
      <c r="C39" s="3" t="e" vm="2">
        <v>#VALUE!</v>
      </c>
      <c r="D39" s="61"/>
      <c r="E39" s="61"/>
      <c r="F39" s="62" cm="1">
        <f t="array" ref="F39">_FV(C39,"Price")</f>
        <v>31.29</v>
      </c>
      <c r="G39" s="45">
        <f t="shared" si="12"/>
        <v>0</v>
      </c>
      <c r="H39" s="63">
        <f t="shared" si="22"/>
        <v>0</v>
      </c>
      <c r="L39" s="74">
        <v>2047</v>
      </c>
      <c r="M39" s="75" t="s">
        <v>83</v>
      </c>
      <c r="N39" s="49">
        <f t="shared" si="13"/>
        <v>1269784182.1033473</v>
      </c>
      <c r="O39" s="59"/>
      <c r="P39" s="49">
        <f t="shared" si="14"/>
        <v>1269784182.1033473</v>
      </c>
      <c r="Q39" s="49">
        <f t="shared" si="15"/>
        <v>553172065.84711933</v>
      </c>
      <c r="R39" s="50">
        <f t="shared" si="11"/>
        <v>0.43564258686134494</v>
      </c>
      <c r="S39" s="75"/>
      <c r="T39" s="53">
        <f t="shared" si="16"/>
        <v>46097672.153926611</v>
      </c>
      <c r="U39" s="83">
        <f t="shared" si="17"/>
        <v>149062056.54253674</v>
      </c>
      <c r="V39" s="52">
        <f t="shared" si="18"/>
        <v>154527461.44054553</v>
      </c>
      <c r="W39" s="52">
        <f t="shared" si="19"/>
        <v>155122702.22254884</v>
      </c>
      <c r="X39" s="52">
        <f t="shared" si="20"/>
        <v>155187530.28106818</v>
      </c>
      <c r="Y39" s="77">
        <f t="shared" si="21"/>
        <v>613899750.48669934</v>
      </c>
    </row>
    <row r="40" spans="1:25" ht="15.6" x14ac:dyDescent="0.4">
      <c r="B40" s="5" t="s">
        <v>42</v>
      </c>
      <c r="C40" s="3" t="e" vm="2">
        <v>#VALUE!</v>
      </c>
      <c r="D40" s="61"/>
      <c r="E40" s="61"/>
      <c r="F40" s="62" cm="1">
        <f t="array" ref="F40">_FV(C40,"Price")</f>
        <v>31.29</v>
      </c>
      <c r="G40" s="45">
        <f t="shared" si="12"/>
        <v>0</v>
      </c>
      <c r="H40" s="63">
        <f t="shared" si="22"/>
        <v>0</v>
      </c>
      <c r="L40" s="74">
        <v>2048</v>
      </c>
      <c r="M40" s="75" t="s">
        <v>84</v>
      </c>
      <c r="N40" s="49">
        <f t="shared" si="13"/>
        <v>1822956247.9504666</v>
      </c>
      <c r="O40" s="59"/>
      <c r="P40" s="49">
        <f t="shared" si="14"/>
        <v>1822956247.9504666</v>
      </c>
      <c r="Q40" s="49">
        <f t="shared" si="15"/>
        <v>885008979.35993946</v>
      </c>
      <c r="R40" s="50">
        <f t="shared" si="11"/>
        <v>0.4854800987982828</v>
      </c>
      <c r="S40" s="75"/>
      <c r="T40" s="53">
        <f t="shared" si="16"/>
        <v>73750748.27999495</v>
      </c>
      <c r="U40" s="83">
        <f t="shared" si="17"/>
        <v>240087359.22326347</v>
      </c>
      <c r="V40" s="52">
        <f t="shared" si="18"/>
        <v>250391653.55896705</v>
      </c>
      <c r="W40" s="52">
        <f t="shared" si="19"/>
        <v>251642286.01700306</v>
      </c>
      <c r="X40" s="52">
        <f t="shared" si="20"/>
        <v>251794075.30932495</v>
      </c>
      <c r="Y40" s="77">
        <f t="shared" si="21"/>
        <v>993915374.10855854</v>
      </c>
    </row>
    <row r="41" spans="1:25" ht="15.6" x14ac:dyDescent="0.4">
      <c r="B41" s="5" t="s">
        <v>42</v>
      </c>
      <c r="C41" s="3" t="e" vm="2">
        <v>#VALUE!</v>
      </c>
      <c r="D41" s="61"/>
      <c r="E41" s="61"/>
      <c r="F41" s="62" cm="1">
        <f t="array" ref="F41">_FV(C41,"Price")</f>
        <v>31.29</v>
      </c>
      <c r="G41" s="45">
        <f t="shared" si="12"/>
        <v>0</v>
      </c>
      <c r="H41" s="63">
        <f t="shared" si="22"/>
        <v>0</v>
      </c>
      <c r="L41" s="79">
        <v>2049</v>
      </c>
      <c r="M41" s="54" t="s">
        <v>85</v>
      </c>
      <c r="N41" s="55">
        <f t="shared" si="13"/>
        <v>2707965227.3104062</v>
      </c>
      <c r="O41" s="56"/>
      <c r="P41" s="55">
        <f t="shared" si="14"/>
        <v>2707965227.3104062</v>
      </c>
      <c r="Q41" s="55">
        <f t="shared" si="15"/>
        <v>1465060699.1624639</v>
      </c>
      <c r="R41" s="57">
        <f t="shared" si="11"/>
        <v>0.54101902210080643</v>
      </c>
      <c r="S41" s="54"/>
      <c r="T41" s="81">
        <f t="shared" si="16"/>
        <v>122088391.59687199</v>
      </c>
      <c r="U41" s="84">
        <f t="shared" si="17"/>
        <v>400321520.88927293</v>
      </c>
      <c r="V41" s="58">
        <f t="shared" si="18"/>
        <v>420410564.22997153</v>
      </c>
      <c r="W41" s="58">
        <f t="shared" si="19"/>
        <v>423127702.87575287</v>
      </c>
      <c r="X41" s="58">
        <f t="shared" si="20"/>
        <v>423495208.79901612</v>
      </c>
      <c r="Y41" s="80">
        <f t="shared" si="21"/>
        <v>1667354996.7940135</v>
      </c>
    </row>
    <row r="42" spans="1:25" ht="15.6" x14ac:dyDescent="0.4">
      <c r="B42" s="5" t="s">
        <v>42</v>
      </c>
      <c r="C42" s="3" t="e" vm="2">
        <v>#VALUE!</v>
      </c>
      <c r="D42" s="61"/>
      <c r="E42" s="61"/>
      <c r="F42" s="62"/>
      <c r="G42" s="45"/>
      <c r="H42" s="63"/>
      <c r="L42" s="5"/>
      <c r="M42" s="70"/>
      <c r="N42" s="71"/>
      <c r="O42" s="72"/>
      <c r="P42" s="71"/>
      <c r="Q42" s="71"/>
      <c r="R42" s="50"/>
      <c r="S42" s="70"/>
      <c r="T42" s="53"/>
      <c r="U42" s="53"/>
      <c r="V42" s="53"/>
      <c r="W42" s="53"/>
      <c r="X42" s="53"/>
      <c r="Y42" s="71"/>
    </row>
    <row r="43" spans="1:25" ht="15.6" x14ac:dyDescent="0.4">
      <c r="B43" s="5" t="s">
        <v>42</v>
      </c>
      <c r="C43" s="3" t="e" vm="2">
        <v>#VALUE!</v>
      </c>
      <c r="D43" s="61"/>
      <c r="E43" s="61"/>
      <c r="F43" s="62" cm="1">
        <f t="array" ref="F43">_FV(C43,"Price")</f>
        <v>31.29</v>
      </c>
      <c r="G43" s="45">
        <f t="shared" si="12"/>
        <v>0</v>
      </c>
      <c r="H43" s="63">
        <f t="shared" si="22"/>
        <v>0</v>
      </c>
      <c r="L43" s="5"/>
      <c r="M43" s="70"/>
      <c r="N43" s="71"/>
      <c r="O43" s="71"/>
      <c r="P43" s="71"/>
      <c r="Q43" s="71"/>
      <c r="R43" s="73" t="s">
        <v>197</v>
      </c>
      <c r="T43" s="53"/>
      <c r="U43" s="71"/>
      <c r="V43" s="71"/>
      <c r="W43" s="71"/>
      <c r="X43" s="71"/>
      <c r="Y43" s="71"/>
    </row>
    <row r="44" spans="1:25" ht="15.6" x14ac:dyDescent="0.4">
      <c r="B44" s="5" t="s">
        <v>42</v>
      </c>
      <c r="C44" s="3" t="e" vm="2">
        <v>#VALUE!</v>
      </c>
      <c r="D44" s="61"/>
      <c r="E44" s="61"/>
      <c r="F44" s="62" cm="1">
        <f t="array" ref="F44">_FV(C44,"Price")</f>
        <v>31.29</v>
      </c>
      <c r="G44" s="45">
        <f t="shared" si="12"/>
        <v>0</v>
      </c>
      <c r="H44" s="63">
        <f t="shared" si="22"/>
        <v>0</v>
      </c>
      <c r="Q44" s="86"/>
      <c r="R44" s="87" t="s">
        <v>301</v>
      </c>
      <c r="S44" s="88" t="s">
        <v>86</v>
      </c>
      <c r="T44" s="88" t="s">
        <v>87</v>
      </c>
      <c r="U44" s="88" t="s">
        <v>13</v>
      </c>
      <c r="V44" s="88" t="s">
        <v>88</v>
      </c>
    </row>
    <row r="45" spans="1:25" ht="13.5" customHeight="1" x14ac:dyDescent="0.4">
      <c r="B45" s="5" t="s">
        <v>42</v>
      </c>
      <c r="C45" s="3" t="e" vm="2">
        <v>#VALUE!</v>
      </c>
      <c r="D45" s="61"/>
      <c r="E45" s="61"/>
      <c r="F45" s="62" cm="1">
        <f t="array" ref="F45">_FV(C45,"Price")</f>
        <v>31.29</v>
      </c>
      <c r="G45" s="45">
        <f t="shared" si="12"/>
        <v>0</v>
      </c>
      <c r="H45" s="63">
        <f t="shared" si="22"/>
        <v>0</v>
      </c>
      <c r="Q45" s="86"/>
      <c r="R45" s="85" t="s">
        <v>202</v>
      </c>
      <c r="S45" s="64" t="s">
        <v>89</v>
      </c>
      <c r="T45" s="64" t="s">
        <v>90</v>
      </c>
      <c r="U45" s="25">
        <f>+V45</f>
        <v>109547</v>
      </c>
      <c r="V45" s="65" cm="1">
        <f t="array" ref="V45:V143">_xlfn.TOCOL(U17:X41,1,FALSE)</f>
        <v>109547</v>
      </c>
    </row>
    <row r="46" spans="1:25" ht="13.5" customHeight="1" x14ac:dyDescent="0.4">
      <c r="B46" s="5" t="s">
        <v>42</v>
      </c>
      <c r="C46" s="3" t="e" vm="2">
        <v>#VALUE!</v>
      </c>
      <c r="D46" s="61"/>
      <c r="E46" s="61"/>
      <c r="F46" s="62" cm="1">
        <f t="array" ref="F46">_FV(C46,"Price")</f>
        <v>31.29</v>
      </c>
      <c r="G46" s="45">
        <f t="shared" si="12"/>
        <v>0</v>
      </c>
      <c r="H46" s="63">
        <f t="shared" si="22"/>
        <v>0</v>
      </c>
      <c r="Q46" s="86"/>
      <c r="R46" s="85" t="s">
        <v>203</v>
      </c>
      <c r="S46" s="64" t="s">
        <v>91</v>
      </c>
      <c r="T46" s="64" t="s">
        <v>92</v>
      </c>
      <c r="U46" s="25">
        <f>+V45+V46</f>
        <v>247944</v>
      </c>
      <c r="V46" s="65">
        <v>138397</v>
      </c>
    </row>
    <row r="47" spans="1:25" ht="13.5" customHeight="1" x14ac:dyDescent="0.4">
      <c r="B47" s="5" t="s">
        <v>42</v>
      </c>
      <c r="C47" s="3" t="e" vm="2">
        <v>#VALUE!</v>
      </c>
      <c r="D47" s="61"/>
      <c r="E47" s="61"/>
      <c r="F47" s="62" cm="1">
        <f t="array" ref="F47">_FV(C47,"Price")</f>
        <v>31.29</v>
      </c>
      <c r="G47" s="45">
        <f t="shared" si="12"/>
        <v>0</v>
      </c>
      <c r="H47" s="63">
        <f t="shared" si="22"/>
        <v>0</v>
      </c>
      <c r="Q47" s="86"/>
      <c r="R47" s="85" t="s">
        <v>204</v>
      </c>
      <c r="S47" s="64" t="s">
        <v>91</v>
      </c>
      <c r="T47" s="64" t="s">
        <v>93</v>
      </c>
      <c r="U47" s="25">
        <f t="shared" ref="U47:U110" si="23">+V46+V47</f>
        <v>311471</v>
      </c>
      <c r="V47" s="65">
        <v>173074</v>
      </c>
    </row>
    <row r="48" spans="1:25" ht="13.5" customHeight="1" x14ac:dyDescent="0.4">
      <c r="B48" s="5" t="s">
        <v>42</v>
      </c>
      <c r="C48" s="3" t="e" vm="2">
        <v>#VALUE!</v>
      </c>
      <c r="D48" s="61"/>
      <c r="E48" s="61"/>
      <c r="F48" s="62" cm="1">
        <f t="array" ref="F48">_FV(C48,"Price")</f>
        <v>31.29</v>
      </c>
      <c r="G48" s="45">
        <f t="shared" si="12"/>
        <v>0</v>
      </c>
      <c r="H48" s="63">
        <f t="shared" si="22"/>
        <v>0</v>
      </c>
      <c r="Q48" s="86"/>
      <c r="R48" s="85" t="s">
        <v>205</v>
      </c>
      <c r="S48" s="64" t="s">
        <v>91</v>
      </c>
      <c r="T48" s="64" t="s">
        <v>94</v>
      </c>
      <c r="U48" s="25">
        <f t="shared" si="23"/>
        <v>347645</v>
      </c>
      <c r="V48" s="65">
        <v>174571</v>
      </c>
    </row>
    <row r="49" spans="2:22" ht="13.5" customHeight="1" x14ac:dyDescent="0.4">
      <c r="B49" s="5" t="s">
        <v>42</v>
      </c>
      <c r="C49" s="3" t="e" vm="2">
        <v>#VALUE!</v>
      </c>
      <c r="D49" s="61"/>
      <c r="E49" s="61"/>
      <c r="F49" s="62" cm="1">
        <f t="array" ref="F49">_FV(C49,"Price")</f>
        <v>31.29</v>
      </c>
      <c r="G49" s="45">
        <f t="shared" si="12"/>
        <v>0</v>
      </c>
      <c r="H49" s="63">
        <f t="shared" si="22"/>
        <v>0</v>
      </c>
      <c r="Q49" s="86"/>
      <c r="R49" s="85" t="s">
        <v>206</v>
      </c>
      <c r="S49" s="67" t="s">
        <v>95</v>
      </c>
      <c r="T49" s="67" t="s">
        <v>96</v>
      </c>
      <c r="U49" s="25">
        <f t="shared" si="23"/>
        <v>387241.27316752856</v>
      </c>
      <c r="V49" s="66">
        <v>212670.27316752856</v>
      </c>
    </row>
    <row r="50" spans="2:22" ht="13.5" customHeight="1" x14ac:dyDescent="0.4">
      <c r="B50" s="5" t="s">
        <v>42</v>
      </c>
      <c r="C50" s="3" t="e" vm="2">
        <v>#VALUE!</v>
      </c>
      <c r="D50" s="61"/>
      <c r="E50" s="61"/>
      <c r="F50" s="62" cm="1">
        <f t="array" ref="F50">_FV(C50,"Price")</f>
        <v>31.29</v>
      </c>
      <c r="G50" s="45">
        <f t="shared" si="12"/>
        <v>0</v>
      </c>
      <c r="H50" s="63">
        <f t="shared" si="22"/>
        <v>0</v>
      </c>
      <c r="Q50" s="86"/>
      <c r="R50" s="85" t="s">
        <v>207</v>
      </c>
      <c r="S50" s="67" t="s">
        <v>95</v>
      </c>
      <c r="T50" s="67" t="s">
        <v>97</v>
      </c>
      <c r="U50" s="25">
        <f t="shared" si="23"/>
        <v>442566.82752673695</v>
      </c>
      <c r="V50" s="66">
        <v>229896.55435920838</v>
      </c>
    </row>
    <row r="51" spans="2:22" ht="13.5" customHeight="1" x14ac:dyDescent="0.4">
      <c r="B51" s="5" t="s">
        <v>42</v>
      </c>
      <c r="C51" s="3" t="e" vm="2">
        <v>#VALUE!</v>
      </c>
      <c r="D51" s="61"/>
      <c r="E51" s="61"/>
      <c r="F51" s="62" cm="1">
        <f t="array" ref="F51">_FV(C51,"Price")</f>
        <v>31.29</v>
      </c>
      <c r="G51" s="45">
        <f t="shared" si="12"/>
        <v>0</v>
      </c>
      <c r="H51" s="63">
        <f t="shared" si="22"/>
        <v>0</v>
      </c>
      <c r="Q51" s="86"/>
      <c r="R51" s="85" t="s">
        <v>208</v>
      </c>
      <c r="S51" s="67" t="s">
        <v>95</v>
      </c>
      <c r="T51" s="67" t="s">
        <v>98</v>
      </c>
      <c r="U51" s="25">
        <f t="shared" si="23"/>
        <v>476785.6182444049</v>
      </c>
      <c r="V51" s="66">
        <v>246889.06388519649</v>
      </c>
    </row>
    <row r="52" spans="2:22" ht="13.5" customHeight="1" x14ac:dyDescent="0.4">
      <c r="D52" s="3"/>
      <c r="E52" s="3"/>
      <c r="F52" s="3"/>
      <c r="G52" s="3"/>
      <c r="H52" s="3"/>
      <c r="Q52" s="86"/>
      <c r="R52" s="85" t="s">
        <v>209</v>
      </c>
      <c r="S52" s="67" t="s">
        <v>95</v>
      </c>
      <c r="T52" s="67" t="s">
        <v>99</v>
      </c>
      <c r="U52" s="25">
        <f t="shared" si="23"/>
        <v>551475.48659217148</v>
      </c>
      <c r="V52" s="66">
        <v>304586.42270697502</v>
      </c>
    </row>
    <row r="53" spans="2:22" ht="13.5" customHeight="1" x14ac:dyDescent="0.4">
      <c r="Q53" s="86"/>
      <c r="R53" s="85" t="s">
        <v>210</v>
      </c>
      <c r="S53" s="67" t="s">
        <v>95</v>
      </c>
      <c r="T53" s="67" t="s">
        <v>100</v>
      </c>
      <c r="U53" s="25">
        <f t="shared" si="23"/>
        <v>628614.41625324287</v>
      </c>
      <c r="V53" s="66">
        <v>324027.99354626785</v>
      </c>
    </row>
    <row r="54" spans="2:22" ht="13.5" customHeight="1" x14ac:dyDescent="0.4">
      <c r="Q54" s="86"/>
      <c r="R54" s="85" t="s">
        <v>211</v>
      </c>
      <c r="S54" s="67" t="s">
        <v>95</v>
      </c>
      <c r="T54" s="67" t="s">
        <v>101</v>
      </c>
      <c r="U54" s="25">
        <f t="shared" si="23"/>
        <v>667020.08866742847</v>
      </c>
      <c r="V54" s="66">
        <v>342992.09512116062</v>
      </c>
    </row>
    <row r="55" spans="2:22" ht="13.5" customHeight="1" x14ac:dyDescent="0.4">
      <c r="Q55" s="86"/>
      <c r="R55" s="85" t="s">
        <v>212</v>
      </c>
      <c r="S55" s="67" t="s">
        <v>95</v>
      </c>
      <c r="T55" s="67" t="s">
        <v>102</v>
      </c>
      <c r="U55" s="25">
        <f t="shared" si="23"/>
        <v>704942.3325386194</v>
      </c>
      <c r="V55" s="66">
        <v>361950.23741745879</v>
      </c>
    </row>
    <row r="56" spans="2:22" ht="13.5" customHeight="1" x14ac:dyDescent="0.4">
      <c r="Q56" s="86"/>
      <c r="R56" s="85" t="s">
        <v>213</v>
      </c>
      <c r="S56" s="67" t="s">
        <v>95</v>
      </c>
      <c r="T56" s="67" t="s">
        <v>103</v>
      </c>
      <c r="U56" s="25">
        <f t="shared" si="23"/>
        <v>804250.30413256772</v>
      </c>
      <c r="V56" s="66">
        <v>442300.06671510899</v>
      </c>
    </row>
    <row r="57" spans="2:22" ht="13.5" customHeight="1" x14ac:dyDescent="0.4">
      <c r="Q57" s="86"/>
      <c r="R57" s="85" t="s">
        <v>214</v>
      </c>
      <c r="S57" s="67" t="s">
        <v>95</v>
      </c>
      <c r="T57" s="67" t="s">
        <v>104</v>
      </c>
      <c r="U57" s="25">
        <f t="shared" si="23"/>
        <v>906580.88844429282</v>
      </c>
      <c r="V57" s="66">
        <v>464280.8217291839</v>
      </c>
    </row>
    <row r="58" spans="2:22" ht="13.5" customHeight="1" x14ac:dyDescent="0.4">
      <c r="Q58" s="86"/>
      <c r="R58" s="85" t="s">
        <v>215</v>
      </c>
      <c r="S58" s="67" t="s">
        <v>95</v>
      </c>
      <c r="T58" s="67" t="s">
        <v>105</v>
      </c>
      <c r="U58" s="25">
        <f t="shared" si="23"/>
        <v>949730.5552346732</v>
      </c>
      <c r="V58" s="66">
        <v>485449.73350548925</v>
      </c>
    </row>
    <row r="59" spans="2:22" ht="13.5" customHeight="1" x14ac:dyDescent="0.4">
      <c r="Q59" s="86"/>
      <c r="R59" s="85" t="s">
        <v>216</v>
      </c>
      <c r="S59" s="67" t="s">
        <v>95</v>
      </c>
      <c r="T59" s="67" t="s">
        <v>106</v>
      </c>
      <c r="U59" s="25">
        <f t="shared" si="23"/>
        <v>992057.08702960564</v>
      </c>
      <c r="V59" s="66">
        <v>506607.35352411633</v>
      </c>
    </row>
    <row r="60" spans="2:22" ht="13.5" customHeight="1" x14ac:dyDescent="0.4">
      <c r="Q60" s="86"/>
      <c r="R60" s="85" t="s">
        <v>217</v>
      </c>
      <c r="S60" s="67" t="s">
        <v>95</v>
      </c>
      <c r="T60" s="67" t="s">
        <v>107</v>
      </c>
      <c r="U60" s="25">
        <f t="shared" si="23"/>
        <v>1123152.3807331822</v>
      </c>
      <c r="V60" s="66">
        <v>616545.02720906574</v>
      </c>
    </row>
    <row r="61" spans="2:22" ht="13.5" customHeight="1" x14ac:dyDescent="0.4">
      <c r="Q61" s="86"/>
      <c r="R61" s="85" t="s">
        <v>218</v>
      </c>
      <c r="S61" s="67" t="s">
        <v>95</v>
      </c>
      <c r="T61" s="67" t="s">
        <v>108</v>
      </c>
      <c r="U61" s="25">
        <f t="shared" si="23"/>
        <v>1258044.0181026068</v>
      </c>
      <c r="V61" s="66">
        <v>641498.99089354114</v>
      </c>
    </row>
    <row r="62" spans="2:22" ht="13.5" customHeight="1" x14ac:dyDescent="0.4">
      <c r="Q62" s="86"/>
      <c r="R62" s="85" t="s">
        <v>219</v>
      </c>
      <c r="S62" s="67" t="s">
        <v>95</v>
      </c>
      <c r="T62" s="67" t="s">
        <v>109</v>
      </c>
      <c r="U62" s="25">
        <f t="shared" si="23"/>
        <v>1306634.7016752374</v>
      </c>
      <c r="V62" s="66">
        <v>665135.71078169625</v>
      </c>
    </row>
    <row r="63" spans="2:22" ht="13.5" customHeight="1" x14ac:dyDescent="0.4">
      <c r="Q63" s="86"/>
      <c r="R63" s="85" t="s">
        <v>220</v>
      </c>
      <c r="S63" s="67" t="s">
        <v>95</v>
      </c>
      <c r="T63" s="67" t="s">
        <v>110</v>
      </c>
      <c r="U63" s="25">
        <f t="shared" si="23"/>
        <v>1353887.7242301891</v>
      </c>
      <c r="V63" s="66">
        <v>688752.01344849286</v>
      </c>
    </row>
    <row r="64" spans="2:22" ht="13.5" customHeight="1" x14ac:dyDescent="0.4">
      <c r="Q64" s="86"/>
      <c r="R64" s="85" t="s">
        <v>221</v>
      </c>
      <c r="S64" s="67" t="s">
        <v>95</v>
      </c>
      <c r="T64" s="67" t="s">
        <v>111</v>
      </c>
      <c r="U64" s="25">
        <f t="shared" si="23"/>
        <v>1526277.4709181623</v>
      </c>
      <c r="V64" s="66">
        <v>837525.4574696694</v>
      </c>
    </row>
    <row r="65" spans="17:22" ht="13.5" customHeight="1" x14ac:dyDescent="0.4">
      <c r="Q65" s="86"/>
      <c r="R65" s="85" t="s">
        <v>222</v>
      </c>
      <c r="S65" s="67" t="s">
        <v>95</v>
      </c>
      <c r="T65" s="67" t="s">
        <v>112</v>
      </c>
      <c r="U65" s="25">
        <f t="shared" si="23"/>
        <v>1703530.4282088135</v>
      </c>
      <c r="V65" s="66">
        <v>866004.97073914425</v>
      </c>
    </row>
    <row r="66" spans="17:22" ht="13.5" customHeight="1" x14ac:dyDescent="0.4">
      <c r="Q66" s="86"/>
      <c r="R66" s="85" t="s">
        <v>223</v>
      </c>
      <c r="S66" s="67" t="s">
        <v>95</v>
      </c>
      <c r="T66" s="67" t="s">
        <v>113</v>
      </c>
      <c r="U66" s="25">
        <f t="shared" si="23"/>
        <v>1758411.5994732841</v>
      </c>
      <c r="V66" s="66">
        <v>892406.62873413996</v>
      </c>
    </row>
    <row r="67" spans="17:22" ht="13.5" customHeight="1" x14ac:dyDescent="0.4">
      <c r="Q67" s="86"/>
      <c r="R67" s="85" t="s">
        <v>224</v>
      </c>
      <c r="S67" s="67" t="s">
        <v>95</v>
      </c>
      <c r="T67" s="67" t="s">
        <v>114</v>
      </c>
      <c r="U67" s="25">
        <f t="shared" si="23"/>
        <v>1811179.0243545999</v>
      </c>
      <c r="V67" s="66">
        <v>918772.39562045981</v>
      </c>
    </row>
    <row r="68" spans="17:22" ht="13.5" customHeight="1" x14ac:dyDescent="0.4">
      <c r="Q68" s="86"/>
      <c r="R68" s="85" t="s">
        <v>225</v>
      </c>
      <c r="S68" s="67" t="s">
        <v>95</v>
      </c>
      <c r="T68" s="67" t="s">
        <v>115</v>
      </c>
      <c r="U68" s="25">
        <f t="shared" si="23"/>
        <v>2037599.3942643749</v>
      </c>
      <c r="V68" s="66">
        <v>1118826.9986439152</v>
      </c>
    </row>
    <row r="69" spans="17:22" ht="13.5" customHeight="1" x14ac:dyDescent="0.4">
      <c r="Q69" s="86"/>
      <c r="R69" s="85" t="s">
        <v>226</v>
      </c>
      <c r="S69" s="67" t="s">
        <v>95</v>
      </c>
      <c r="T69" s="67" t="s">
        <v>116</v>
      </c>
      <c r="U69" s="25">
        <f t="shared" si="23"/>
        <v>2270378.6881552543</v>
      </c>
      <c r="V69" s="66">
        <v>1151551.6895113394</v>
      </c>
    </row>
    <row r="70" spans="17:22" ht="13.5" customHeight="1" x14ac:dyDescent="0.4">
      <c r="Q70" s="86"/>
      <c r="R70" s="85" t="s">
        <v>227</v>
      </c>
      <c r="S70" s="67" t="s">
        <v>95</v>
      </c>
      <c r="T70" s="67" t="s">
        <v>117</v>
      </c>
      <c r="U70" s="25">
        <f t="shared" si="23"/>
        <v>2332607.1029644283</v>
      </c>
      <c r="V70" s="66">
        <v>1181055.4134530891</v>
      </c>
    </row>
    <row r="71" spans="17:22" ht="13.5" customHeight="1" x14ac:dyDescent="0.4">
      <c r="Q71" s="86"/>
      <c r="R71" s="85" t="s">
        <v>228</v>
      </c>
      <c r="S71" s="67" t="s">
        <v>95</v>
      </c>
      <c r="T71" s="67" t="s">
        <v>118</v>
      </c>
      <c r="U71" s="25">
        <f t="shared" si="23"/>
        <v>2391552.5498117553</v>
      </c>
      <c r="V71" s="66">
        <v>1210497.1363586662</v>
      </c>
    </row>
    <row r="72" spans="17:22" ht="13.5" customHeight="1" x14ac:dyDescent="0.4">
      <c r="Q72" s="86"/>
      <c r="R72" s="85" t="s">
        <v>229</v>
      </c>
      <c r="S72" s="67" t="s">
        <v>95</v>
      </c>
      <c r="T72" s="67" t="s">
        <v>119</v>
      </c>
      <c r="U72" s="25">
        <f t="shared" si="23"/>
        <v>2689244.8860995639</v>
      </c>
      <c r="V72" s="66">
        <v>1478747.7497408977</v>
      </c>
    </row>
    <row r="73" spans="17:22" ht="13.5" customHeight="1" x14ac:dyDescent="0.4">
      <c r="Q73" s="86"/>
      <c r="R73" s="85" t="s">
        <v>230</v>
      </c>
      <c r="S73" s="67" t="s">
        <v>95</v>
      </c>
      <c r="T73" s="67" t="s">
        <v>120</v>
      </c>
      <c r="U73" s="25">
        <f t="shared" si="23"/>
        <v>2995426.7886309535</v>
      </c>
      <c r="V73" s="66">
        <v>1516679.0388900558</v>
      </c>
    </row>
    <row r="74" spans="17:22" ht="13.5" customHeight="1" x14ac:dyDescent="0.4">
      <c r="Q74" s="86"/>
      <c r="R74" s="85" t="s">
        <v>231</v>
      </c>
      <c r="S74" s="67" t="s">
        <v>95</v>
      </c>
      <c r="T74" s="67" t="s">
        <v>121</v>
      </c>
      <c r="U74" s="25">
        <f t="shared" si="23"/>
        <v>3066348.7160859974</v>
      </c>
      <c r="V74" s="66">
        <v>1549669.6771959416</v>
      </c>
    </row>
    <row r="75" spans="17:22" ht="13.5" customHeight="1" x14ac:dyDescent="0.4">
      <c r="Q75" s="86"/>
      <c r="R75" s="85" t="s">
        <v>232</v>
      </c>
      <c r="S75" s="67" t="s">
        <v>95</v>
      </c>
      <c r="T75" s="67" t="s">
        <v>122</v>
      </c>
      <c r="U75" s="25">
        <f t="shared" si="23"/>
        <v>3132224.0092730764</v>
      </c>
      <c r="V75" s="66">
        <v>1582554.3320771349</v>
      </c>
    </row>
    <row r="76" spans="17:22" ht="13.5" customHeight="1" x14ac:dyDescent="0.4">
      <c r="Q76" s="86"/>
      <c r="R76" s="85" t="s">
        <v>233</v>
      </c>
      <c r="S76" s="67" t="s">
        <v>95</v>
      </c>
      <c r="T76" s="67" t="s">
        <v>123</v>
      </c>
      <c r="U76" s="25">
        <f t="shared" si="23"/>
        <v>3488932.6869604103</v>
      </c>
      <c r="V76" s="66">
        <v>1906378.3548832752</v>
      </c>
    </row>
    <row r="77" spans="17:22" ht="13.5" customHeight="1" x14ac:dyDescent="0.4">
      <c r="Q77" s="86"/>
      <c r="R77" s="85" t="s">
        <v>234</v>
      </c>
      <c r="S77" s="67" t="s">
        <v>95</v>
      </c>
      <c r="T77" s="67" t="s">
        <v>124</v>
      </c>
      <c r="U77" s="25">
        <f t="shared" si="23"/>
        <v>3820497.8324927138</v>
      </c>
      <c r="V77" s="66">
        <v>1914119.4776094386</v>
      </c>
    </row>
    <row r="78" spans="17:22" ht="13.5" customHeight="1" x14ac:dyDescent="0.4">
      <c r="Q78" s="86"/>
      <c r="R78" s="85" t="s">
        <v>235</v>
      </c>
      <c r="S78" s="67" t="s">
        <v>95</v>
      </c>
      <c r="T78" s="67" t="s">
        <v>125</v>
      </c>
      <c r="U78" s="25">
        <f t="shared" si="23"/>
        <v>3828424.009374348</v>
      </c>
      <c r="V78" s="66">
        <v>1914304.5317649094</v>
      </c>
    </row>
    <row r="79" spans="17:22" ht="13.5" customHeight="1" x14ac:dyDescent="0.4">
      <c r="Q79" s="86"/>
      <c r="R79" s="85" t="s">
        <v>236</v>
      </c>
      <c r="S79" s="67" t="s">
        <v>95</v>
      </c>
      <c r="T79" s="67" t="s">
        <v>126</v>
      </c>
      <c r="U79" s="25">
        <f t="shared" si="23"/>
        <v>3828613.4873119583</v>
      </c>
      <c r="V79" s="66">
        <v>1914308.9555470492</v>
      </c>
    </row>
    <row r="80" spans="17:22" ht="13.5" customHeight="1" x14ac:dyDescent="0.4">
      <c r="Q80" s="86"/>
      <c r="R80" s="85" t="s">
        <v>237</v>
      </c>
      <c r="S80" s="67" t="s">
        <v>95</v>
      </c>
      <c r="T80" s="67" t="s">
        <v>127</v>
      </c>
      <c r="U80" s="25">
        <f t="shared" si="23"/>
        <v>4414210.8809502665</v>
      </c>
      <c r="V80" s="66">
        <v>2499901.9254032173</v>
      </c>
    </row>
    <row r="81" spans="17:22" ht="13.5" customHeight="1" x14ac:dyDescent="0.4">
      <c r="Q81" s="86"/>
      <c r="R81" s="85" t="s">
        <v>238</v>
      </c>
      <c r="S81" s="67" t="s">
        <v>95</v>
      </c>
      <c r="T81" s="67" t="s">
        <v>128</v>
      </c>
      <c r="U81" s="25">
        <f t="shared" si="23"/>
        <v>5015404.1111752065</v>
      </c>
      <c r="V81" s="66">
        <v>2515502.1857719892</v>
      </c>
    </row>
    <row r="82" spans="17:22" ht="13.5" customHeight="1" x14ac:dyDescent="0.4">
      <c r="Q82" s="86"/>
      <c r="R82" s="85" t="s">
        <v>239</v>
      </c>
      <c r="S82" s="67" t="s">
        <v>95</v>
      </c>
      <c r="T82" s="67" t="s">
        <v>129</v>
      </c>
      <c r="U82" s="25">
        <f t="shared" si="23"/>
        <v>5031419.964175893</v>
      </c>
      <c r="V82" s="66">
        <v>2515917.7784039038</v>
      </c>
    </row>
    <row r="83" spans="17:22" ht="13.5" customHeight="1" x14ac:dyDescent="0.4">
      <c r="Q83" s="86"/>
      <c r="R83" s="85" t="s">
        <v>240</v>
      </c>
      <c r="S83" s="67" t="s">
        <v>95</v>
      </c>
      <c r="T83" s="67" t="s">
        <v>130</v>
      </c>
      <c r="U83" s="25">
        <f t="shared" si="23"/>
        <v>5031846.6282406952</v>
      </c>
      <c r="V83" s="66">
        <v>2515928.8498367919</v>
      </c>
    </row>
    <row r="84" spans="17:22" ht="13.5" customHeight="1" x14ac:dyDescent="0.4">
      <c r="Q84" s="86"/>
      <c r="R84" s="85" t="s">
        <v>241</v>
      </c>
      <c r="S84" s="67" t="s">
        <v>95</v>
      </c>
      <c r="T84" s="67" t="s">
        <v>131</v>
      </c>
      <c r="U84" s="25">
        <f t="shared" si="23"/>
        <v>5798107.0614952482</v>
      </c>
      <c r="V84" s="66">
        <v>3282178.2116584564</v>
      </c>
    </row>
    <row r="85" spans="17:22" ht="13.5" customHeight="1" x14ac:dyDescent="0.4">
      <c r="Q85" s="86"/>
      <c r="R85" s="85" t="s">
        <v>242</v>
      </c>
      <c r="S85" s="67" t="s">
        <v>95</v>
      </c>
      <c r="T85" s="67" t="s">
        <v>132</v>
      </c>
      <c r="U85" s="25">
        <f t="shared" si="23"/>
        <v>6587104.6329476116</v>
      </c>
      <c r="V85" s="66">
        <v>3304926.4212891553</v>
      </c>
    </row>
    <row r="86" spans="17:22" ht="13.5" customHeight="1" x14ac:dyDescent="0.4">
      <c r="Q86" s="86"/>
      <c r="R86" s="85" t="s">
        <v>243</v>
      </c>
      <c r="S86" s="67" t="s">
        <v>95</v>
      </c>
      <c r="T86" s="67" t="s">
        <v>133</v>
      </c>
      <c r="U86" s="25">
        <f t="shared" si="23"/>
        <v>6610528.1854460314</v>
      </c>
      <c r="V86" s="66">
        <v>3305601.7641568761</v>
      </c>
    </row>
    <row r="87" spans="17:22" ht="13.5" customHeight="1" x14ac:dyDescent="0.4">
      <c r="Q87" s="86"/>
      <c r="R87" s="85" t="s">
        <v>244</v>
      </c>
      <c r="S87" s="67" t="s">
        <v>95</v>
      </c>
      <c r="T87" s="67" t="s">
        <v>134</v>
      </c>
      <c r="U87" s="25">
        <f t="shared" si="23"/>
        <v>6611223.5777152833</v>
      </c>
      <c r="V87" s="66">
        <v>3305621.8135584067</v>
      </c>
    </row>
    <row r="88" spans="17:22" ht="13.5" customHeight="1" x14ac:dyDescent="0.4">
      <c r="Q88" s="86"/>
      <c r="R88" s="85" t="s">
        <v>245</v>
      </c>
      <c r="S88" s="67" t="s">
        <v>95</v>
      </c>
      <c r="T88" s="67" t="s">
        <v>135</v>
      </c>
      <c r="U88" s="25">
        <f t="shared" si="23"/>
        <v>7413873.4731397517</v>
      </c>
      <c r="V88" s="66">
        <v>4108251.6595813455</v>
      </c>
    </row>
    <row r="89" spans="17:22" ht="13.5" customHeight="1" x14ac:dyDescent="0.4">
      <c r="Q89" s="86"/>
      <c r="R89" s="85" t="s">
        <v>246</v>
      </c>
      <c r="S89" s="67" t="s">
        <v>95</v>
      </c>
      <c r="T89" s="67" t="s">
        <v>136</v>
      </c>
      <c r="U89" s="25">
        <f t="shared" si="23"/>
        <v>8243057.5364332059</v>
      </c>
      <c r="V89" s="66">
        <v>4134805.8768518604</v>
      </c>
    </row>
    <row r="90" spans="17:22" ht="13.5" customHeight="1" x14ac:dyDescent="0.4">
      <c r="Q90" s="86"/>
      <c r="R90" s="85" t="s">
        <v>247</v>
      </c>
      <c r="S90" s="67" t="s">
        <v>95</v>
      </c>
      <c r="T90" s="67" t="s">
        <v>137</v>
      </c>
      <c r="U90" s="25">
        <f t="shared" si="23"/>
        <v>8270490.2738065347</v>
      </c>
      <c r="V90" s="66">
        <v>4135684.3969546743</v>
      </c>
    </row>
    <row r="91" spans="17:22" ht="13.5" customHeight="1" x14ac:dyDescent="0.4">
      <c r="Q91" s="86"/>
      <c r="R91" s="85" t="s">
        <v>248</v>
      </c>
      <c r="S91" s="67" t="s">
        <v>95</v>
      </c>
      <c r="T91" s="67" t="s">
        <v>138</v>
      </c>
      <c r="U91" s="25">
        <f t="shared" si="23"/>
        <v>8271397.8588809576</v>
      </c>
      <c r="V91" s="66">
        <v>4135713.4619262828</v>
      </c>
    </row>
    <row r="92" spans="17:22" ht="13.5" customHeight="1" x14ac:dyDescent="0.4">
      <c r="Q92" s="86"/>
      <c r="R92" s="85" t="s">
        <v>249</v>
      </c>
      <c r="S92" s="67" t="s">
        <v>95</v>
      </c>
      <c r="T92" s="67" t="s">
        <v>139</v>
      </c>
      <c r="U92" s="25">
        <f t="shared" si="23"/>
        <v>9334290.8927897476</v>
      </c>
      <c r="V92" s="66">
        <v>5198577.4308634643</v>
      </c>
    </row>
    <row r="93" spans="17:22" ht="13.5" customHeight="1" x14ac:dyDescent="0.4">
      <c r="Q93" s="86"/>
      <c r="R93" s="85" t="s">
        <v>250</v>
      </c>
      <c r="S93" s="67" t="s">
        <v>95</v>
      </c>
      <c r="T93" s="67" t="s">
        <v>140</v>
      </c>
      <c r="U93" s="25">
        <f t="shared" si="23"/>
        <v>10436341.407917516</v>
      </c>
      <c r="V93" s="66">
        <v>5237763.9770540521</v>
      </c>
    </row>
    <row r="94" spans="17:22" ht="13.5" customHeight="1" x14ac:dyDescent="0.4">
      <c r="Q94" s="86"/>
      <c r="R94" s="85" t="s">
        <v>251</v>
      </c>
      <c r="S94" s="67" t="s">
        <v>95</v>
      </c>
      <c r="T94" s="67" t="s">
        <v>141</v>
      </c>
      <c r="U94" s="25">
        <f t="shared" si="23"/>
        <v>10476972.71604117</v>
      </c>
      <c r="V94" s="66">
        <v>5239208.7389871171</v>
      </c>
    </row>
    <row r="95" spans="17:22" ht="13.5" customHeight="1" x14ac:dyDescent="0.4">
      <c r="Q95" s="86"/>
      <c r="R95" s="85" t="s">
        <v>252</v>
      </c>
      <c r="S95" s="67" t="s">
        <v>95</v>
      </c>
      <c r="T95" s="67" t="s">
        <v>142</v>
      </c>
      <c r="U95" s="25">
        <f t="shared" si="23"/>
        <v>10478470.74464982</v>
      </c>
      <c r="V95" s="66">
        <v>5239262.005662702</v>
      </c>
    </row>
    <row r="96" spans="17:22" ht="13.5" customHeight="1" x14ac:dyDescent="0.4">
      <c r="Q96" s="86"/>
      <c r="R96" s="85" t="s">
        <v>253</v>
      </c>
      <c r="S96" s="67" t="s">
        <v>95</v>
      </c>
      <c r="T96" s="67" t="s">
        <v>143</v>
      </c>
      <c r="U96" s="25">
        <f t="shared" si="23"/>
        <v>11907206.287310578</v>
      </c>
      <c r="V96" s="66">
        <v>6667944.2816478759</v>
      </c>
    </row>
    <row r="97" spans="17:22" ht="13.5" customHeight="1" x14ac:dyDescent="0.4">
      <c r="Q97" s="86"/>
      <c r="R97" s="85" t="s">
        <v>254</v>
      </c>
      <c r="S97" s="67" t="s">
        <v>95</v>
      </c>
      <c r="T97" s="67" t="s">
        <v>144</v>
      </c>
      <c r="U97" s="25">
        <f t="shared" si="23"/>
        <v>13394588.287821651</v>
      </c>
      <c r="V97" s="66">
        <v>6726644.0061737746</v>
      </c>
    </row>
    <row r="98" spans="17:22" ht="13.5" customHeight="1" x14ac:dyDescent="0.4">
      <c r="Q98" s="86"/>
      <c r="R98" s="85" t="s">
        <v>255</v>
      </c>
      <c r="S98" s="67" t="s">
        <v>95</v>
      </c>
      <c r="T98" s="67" t="s">
        <v>145</v>
      </c>
      <c r="U98" s="25">
        <f t="shared" si="23"/>
        <v>13455699.785571964</v>
      </c>
      <c r="V98" s="66">
        <v>6729055.7793981899</v>
      </c>
    </row>
    <row r="99" spans="17:22" ht="13.5" customHeight="1" x14ac:dyDescent="0.4">
      <c r="Q99" s="86"/>
      <c r="R99" s="85" t="s">
        <v>256</v>
      </c>
      <c r="S99" s="67" t="s">
        <v>95</v>
      </c>
      <c r="T99" s="67" t="s">
        <v>146</v>
      </c>
      <c r="U99" s="25">
        <f t="shared" si="23"/>
        <v>13458210.650404271</v>
      </c>
      <c r="V99" s="66">
        <v>6729154.8710060809</v>
      </c>
    </row>
    <row r="100" spans="17:22" ht="13.5" customHeight="1" x14ac:dyDescent="0.4">
      <c r="Q100" s="86"/>
      <c r="R100" s="85" t="s">
        <v>257</v>
      </c>
      <c r="S100" s="67" t="s">
        <v>95</v>
      </c>
      <c r="T100" s="67" t="s">
        <v>147</v>
      </c>
      <c r="U100" s="25">
        <f t="shared" si="23"/>
        <v>15409923.315474663</v>
      </c>
      <c r="V100" s="66">
        <v>8680768.444468582</v>
      </c>
    </row>
    <row r="101" spans="17:22" ht="13.5" customHeight="1" x14ac:dyDescent="0.4">
      <c r="Q101" s="86"/>
      <c r="R101" s="85" t="s">
        <v>258</v>
      </c>
      <c r="S101" s="67" t="s">
        <v>95</v>
      </c>
      <c r="T101" s="67" t="s">
        <v>148</v>
      </c>
      <c r="U101" s="25">
        <f t="shared" si="23"/>
        <v>17450895.279800668</v>
      </c>
      <c r="V101" s="66">
        <v>8770126.8353320863</v>
      </c>
    </row>
    <row r="102" spans="17:22" ht="13.5" customHeight="1" x14ac:dyDescent="0.4">
      <c r="Q102" s="86"/>
      <c r="R102" s="85" t="s">
        <v>259</v>
      </c>
      <c r="S102" s="67" t="s">
        <v>95</v>
      </c>
      <c r="T102" s="67" t="s">
        <v>149</v>
      </c>
      <c r="U102" s="25">
        <f t="shared" si="23"/>
        <v>17544345.116904501</v>
      </c>
      <c r="V102" s="66">
        <v>8774218.2815724146</v>
      </c>
    </row>
    <row r="103" spans="17:22" ht="13.5" customHeight="1" x14ac:dyDescent="0.4">
      <c r="Q103" s="86"/>
      <c r="R103" s="85" t="s">
        <v>260</v>
      </c>
      <c r="S103" s="67" t="s">
        <v>95</v>
      </c>
      <c r="T103" s="67" t="s">
        <v>150</v>
      </c>
      <c r="U103" s="25">
        <f t="shared" si="23"/>
        <v>17548623.897900701</v>
      </c>
      <c r="V103" s="66">
        <v>8774405.6163282841</v>
      </c>
    </row>
    <row r="104" spans="17:22" ht="13.5" customHeight="1" x14ac:dyDescent="0.4">
      <c r="Q104" s="86"/>
      <c r="R104" s="85" t="s">
        <v>261</v>
      </c>
      <c r="S104" s="67" t="s">
        <v>95</v>
      </c>
      <c r="T104" s="67" t="s">
        <v>151</v>
      </c>
      <c r="U104" s="25">
        <f t="shared" si="23"/>
        <v>20261471.351509828</v>
      </c>
      <c r="V104" s="66">
        <v>11487065.735181544</v>
      </c>
    </row>
    <row r="105" spans="17:22" ht="13.5" customHeight="1" x14ac:dyDescent="0.4">
      <c r="Q105" s="86"/>
      <c r="R105" s="85" t="s">
        <v>262</v>
      </c>
      <c r="S105" s="67" t="s">
        <v>95</v>
      </c>
      <c r="T105" s="67" t="s">
        <v>152</v>
      </c>
      <c r="U105" s="25">
        <f t="shared" si="23"/>
        <v>23112544.825318854</v>
      </c>
      <c r="V105" s="66">
        <v>11625479.09013731</v>
      </c>
    </row>
    <row r="106" spans="17:22" ht="13.5" customHeight="1" x14ac:dyDescent="0.4">
      <c r="Q106" s="86"/>
      <c r="R106" s="85" t="s">
        <v>263</v>
      </c>
      <c r="S106" s="67" t="s">
        <v>95</v>
      </c>
      <c r="T106" s="67" t="s">
        <v>153</v>
      </c>
      <c r="U106" s="25">
        <f t="shared" si="23"/>
        <v>23258020.715200011</v>
      </c>
      <c r="V106" s="66">
        <v>11632541.6250627</v>
      </c>
    </row>
    <row r="107" spans="17:22" ht="13.5" customHeight="1" x14ac:dyDescent="0.4">
      <c r="Q107" s="86"/>
      <c r="R107" s="85" t="s">
        <v>264</v>
      </c>
      <c r="S107" s="67" t="s">
        <v>95</v>
      </c>
      <c r="T107" s="67" t="s">
        <v>154</v>
      </c>
      <c r="U107" s="25">
        <f t="shared" si="23"/>
        <v>23265443.615637735</v>
      </c>
      <c r="V107" s="66">
        <v>11632901.990575034</v>
      </c>
    </row>
    <row r="108" spans="17:22" ht="13.5" customHeight="1" x14ac:dyDescent="0.4">
      <c r="Q108" s="86"/>
      <c r="R108" s="85" t="s">
        <v>265</v>
      </c>
      <c r="S108" s="67" t="s">
        <v>95</v>
      </c>
      <c r="T108" s="67" t="s">
        <v>155</v>
      </c>
      <c r="U108" s="25">
        <f t="shared" si="23"/>
        <v>27107516.182843506</v>
      </c>
      <c r="V108" s="66">
        <v>15474614.192268472</v>
      </c>
    </row>
    <row r="109" spans="17:22" ht="13.5" customHeight="1" x14ac:dyDescent="0.4">
      <c r="Q109" s="86"/>
      <c r="R109" s="85" t="s">
        <v>266</v>
      </c>
      <c r="S109" s="67" t="s">
        <v>95</v>
      </c>
      <c r="T109" s="67" t="s">
        <v>156</v>
      </c>
      <c r="U109" s="25">
        <f t="shared" si="23"/>
        <v>31167676.621198781</v>
      </c>
      <c r="V109" s="66">
        <v>15693062.428930311</v>
      </c>
    </row>
    <row r="110" spans="17:22" ht="13.5" customHeight="1" x14ac:dyDescent="0.4">
      <c r="Q110" s="86"/>
      <c r="R110" s="85" t="s">
        <v>267</v>
      </c>
      <c r="S110" s="67" t="s">
        <v>95</v>
      </c>
      <c r="T110" s="67" t="s">
        <v>157</v>
      </c>
      <c r="U110" s="25">
        <f t="shared" si="23"/>
        <v>31398546.306838401</v>
      </c>
      <c r="V110" s="66">
        <v>15705483.877908092</v>
      </c>
    </row>
    <row r="111" spans="17:22" ht="13.5" customHeight="1" x14ac:dyDescent="0.4">
      <c r="Q111" s="86"/>
      <c r="R111" s="85" t="s">
        <v>268</v>
      </c>
      <c r="S111" s="67" t="s">
        <v>95</v>
      </c>
      <c r="T111" s="67" t="s">
        <v>158</v>
      </c>
      <c r="U111" s="25">
        <f t="shared" ref="U111:U143" si="24">+V110+V111</f>
        <v>31411674.066826362</v>
      </c>
      <c r="V111" s="66">
        <v>15706190.18891827</v>
      </c>
    </row>
    <row r="112" spans="17:22" ht="13.5" customHeight="1" x14ac:dyDescent="0.4">
      <c r="Q112" s="86"/>
      <c r="R112" s="85" t="s">
        <v>269</v>
      </c>
      <c r="S112" s="67" t="s">
        <v>95</v>
      </c>
      <c r="T112" s="67" t="s">
        <v>159</v>
      </c>
      <c r="U112" s="25">
        <f t="shared" si="24"/>
        <v>36963885.15893206</v>
      </c>
      <c r="V112" s="66">
        <v>21257694.97001379</v>
      </c>
    </row>
    <row r="113" spans="17:22" ht="13.5" customHeight="1" x14ac:dyDescent="0.4">
      <c r="Q113" s="86"/>
      <c r="R113" s="85" t="s">
        <v>270</v>
      </c>
      <c r="S113" s="67" t="s">
        <v>95</v>
      </c>
      <c r="T113" s="67" t="s">
        <v>160</v>
      </c>
      <c r="U113" s="25">
        <f t="shared" si="24"/>
        <v>42867173.49874261</v>
      </c>
      <c r="V113" s="66">
        <v>21609478.52872882</v>
      </c>
    </row>
    <row r="114" spans="17:22" ht="13.5" customHeight="1" x14ac:dyDescent="0.4">
      <c r="Q114" s="86"/>
      <c r="R114" s="85" t="s">
        <v>271</v>
      </c>
      <c r="S114" s="67" t="s">
        <v>95</v>
      </c>
      <c r="T114" s="67" t="s">
        <v>161</v>
      </c>
      <c r="U114" s="25">
        <f t="shared" si="24"/>
        <v>43241248.612101287</v>
      </c>
      <c r="V114" s="66">
        <v>21631770.083372463</v>
      </c>
    </row>
    <row r="115" spans="17:22" ht="13.5" customHeight="1" x14ac:dyDescent="0.4">
      <c r="Q115" s="86"/>
      <c r="R115" s="85" t="s">
        <v>272</v>
      </c>
      <c r="S115" s="67" t="s">
        <v>95</v>
      </c>
      <c r="T115" s="67" t="s">
        <v>162</v>
      </c>
      <c r="U115" s="25">
        <f t="shared" si="24"/>
        <v>43264952.721129909</v>
      </c>
      <c r="V115" s="66">
        <v>21633182.63775745</v>
      </c>
    </row>
    <row r="116" spans="17:22" ht="13.5" customHeight="1" x14ac:dyDescent="0.4">
      <c r="Q116" s="86"/>
      <c r="R116" s="85" t="s">
        <v>273</v>
      </c>
      <c r="S116" s="67" t="s">
        <v>95</v>
      </c>
      <c r="T116" s="67" t="s">
        <v>163</v>
      </c>
      <c r="U116" s="25">
        <f t="shared" si="24"/>
        <v>51464747.146216273</v>
      </c>
      <c r="V116" s="66">
        <v>29831564.508458827</v>
      </c>
    </row>
    <row r="117" spans="17:22" ht="13.5" customHeight="1" x14ac:dyDescent="0.4">
      <c r="Q117" s="86"/>
      <c r="R117" s="85" t="s">
        <v>274</v>
      </c>
      <c r="S117" s="67" t="s">
        <v>95</v>
      </c>
      <c r="T117" s="67" t="s">
        <v>164</v>
      </c>
      <c r="U117" s="25">
        <f t="shared" si="24"/>
        <v>60242069.696537584</v>
      </c>
      <c r="V117" s="66">
        <v>30410505.188078761</v>
      </c>
    </row>
    <row r="118" spans="17:22" ht="13.5" customHeight="1" x14ac:dyDescent="0.4">
      <c r="Q118" s="86"/>
      <c r="R118" s="85" t="s">
        <v>275</v>
      </c>
      <c r="S118" s="67" t="s">
        <v>95</v>
      </c>
      <c r="T118" s="67" t="s">
        <v>165</v>
      </c>
      <c r="U118" s="25">
        <f t="shared" si="24"/>
        <v>60861893.11567916</v>
      </c>
      <c r="V118" s="66">
        <v>30451387.927600395</v>
      </c>
    </row>
    <row r="119" spans="17:22" ht="13.5" customHeight="1" x14ac:dyDescent="0.4">
      <c r="Q119" s="86"/>
      <c r="R119" s="85" t="s">
        <v>276</v>
      </c>
      <c r="S119" s="67" t="s">
        <v>95</v>
      </c>
      <c r="T119" s="67" t="s">
        <v>166</v>
      </c>
      <c r="U119" s="25">
        <f t="shared" si="24"/>
        <v>60905662.849412173</v>
      </c>
      <c r="V119" s="66">
        <v>30454274.921811774</v>
      </c>
    </row>
    <row r="120" spans="17:22" ht="13.5" customHeight="1" x14ac:dyDescent="0.4">
      <c r="Q120" s="86"/>
      <c r="R120" s="85" t="s">
        <v>277</v>
      </c>
      <c r="S120" s="67" t="s">
        <v>95</v>
      </c>
      <c r="T120" s="67" t="s">
        <v>167</v>
      </c>
      <c r="U120" s="25">
        <f t="shared" si="24"/>
        <v>73302247.23514986</v>
      </c>
      <c r="V120" s="66">
        <v>42847972.313338086</v>
      </c>
    </row>
    <row r="121" spans="17:22" ht="13.5" customHeight="1" x14ac:dyDescent="0.4">
      <c r="Q121" s="86"/>
      <c r="R121" s="85" t="s">
        <v>278</v>
      </c>
      <c r="S121" s="67" t="s">
        <v>95</v>
      </c>
      <c r="T121" s="67" t="s">
        <v>168</v>
      </c>
      <c r="U121" s="25">
        <f t="shared" si="24"/>
        <v>86671266.389013588</v>
      </c>
      <c r="V121" s="66">
        <v>43823294.07567551</v>
      </c>
    </row>
    <row r="122" spans="17:22" ht="13.5" customHeight="1" x14ac:dyDescent="0.4">
      <c r="Q122" s="86"/>
      <c r="R122" s="85" t="s">
        <v>279</v>
      </c>
      <c r="S122" s="67" t="s">
        <v>95</v>
      </c>
      <c r="T122" s="67" t="s">
        <v>169</v>
      </c>
      <c r="U122" s="25">
        <f t="shared" si="24"/>
        <v>87723341.077458397</v>
      </c>
      <c r="V122" s="66">
        <v>43900047.001782887</v>
      </c>
    </row>
    <row r="123" spans="17:22" ht="13.5" customHeight="1" x14ac:dyDescent="0.4">
      <c r="Q123" s="86"/>
      <c r="R123" s="85" t="s">
        <v>280</v>
      </c>
      <c r="S123" s="67" t="s">
        <v>95</v>
      </c>
      <c r="T123" s="67" t="s">
        <v>170</v>
      </c>
      <c r="U123" s="25">
        <f t="shared" si="24"/>
        <v>87806134.073513493</v>
      </c>
      <c r="V123" s="66">
        <v>43906087.071730606</v>
      </c>
    </row>
    <row r="124" spans="17:22" ht="13.5" customHeight="1" x14ac:dyDescent="0.4">
      <c r="Q124" s="86"/>
      <c r="R124" s="85" t="s">
        <v>281</v>
      </c>
      <c r="S124" s="67" t="s">
        <v>95</v>
      </c>
      <c r="T124" s="67" t="s">
        <v>171</v>
      </c>
      <c r="U124" s="25">
        <f t="shared" si="24"/>
        <v>107025527.57189387</v>
      </c>
      <c r="V124" s="66">
        <v>63119440.500163257</v>
      </c>
    </row>
    <row r="125" spans="17:22" ht="13.5" customHeight="1" x14ac:dyDescent="0.4">
      <c r="Q125" s="86"/>
      <c r="R125" s="85" t="s">
        <v>282</v>
      </c>
      <c r="S125" s="67" t="s">
        <v>95</v>
      </c>
      <c r="T125" s="67" t="s">
        <v>172</v>
      </c>
      <c r="U125" s="25">
        <f t="shared" si="24"/>
        <v>127923847.62037563</v>
      </c>
      <c r="V125" s="66">
        <v>64804407.120212376</v>
      </c>
    </row>
    <row r="126" spans="17:22" ht="13.5" customHeight="1" x14ac:dyDescent="0.4">
      <c r="Q126" s="86"/>
      <c r="R126" s="85" t="s">
        <v>283</v>
      </c>
      <c r="S126" s="67" t="s">
        <v>95</v>
      </c>
      <c r="T126" s="67" t="s">
        <v>173</v>
      </c>
      <c r="U126" s="25">
        <f t="shared" si="24"/>
        <v>129756581.91259375</v>
      </c>
      <c r="V126" s="66">
        <v>64952174.792381369</v>
      </c>
    </row>
    <row r="127" spans="17:22" ht="13.5" customHeight="1" x14ac:dyDescent="0.4">
      <c r="Q127" s="86"/>
      <c r="R127" s="85" t="s">
        <v>284</v>
      </c>
      <c r="S127" s="67" t="s">
        <v>95</v>
      </c>
      <c r="T127" s="67" t="s">
        <v>174</v>
      </c>
      <c r="U127" s="25">
        <f t="shared" si="24"/>
        <v>129917308.46755511</v>
      </c>
      <c r="V127" s="66">
        <v>64965133.67517373</v>
      </c>
    </row>
    <row r="128" spans="17:22" ht="13.5" customHeight="1" x14ac:dyDescent="0.4">
      <c r="Q128" s="86"/>
      <c r="R128" s="85" t="s">
        <v>285</v>
      </c>
      <c r="S128" s="67" t="s">
        <v>95</v>
      </c>
      <c r="T128" s="67" t="s">
        <v>175</v>
      </c>
      <c r="U128" s="25">
        <f t="shared" si="24"/>
        <v>160533045.32183623</v>
      </c>
      <c r="V128" s="66">
        <v>95567911.646662489</v>
      </c>
    </row>
    <row r="129" spans="17:22" ht="13.5" customHeight="1" x14ac:dyDescent="0.4">
      <c r="Q129" s="86"/>
      <c r="R129" s="85" t="s">
        <v>286</v>
      </c>
      <c r="S129" s="67" t="s">
        <v>95</v>
      </c>
      <c r="T129" s="67" t="s">
        <v>176</v>
      </c>
      <c r="U129" s="25">
        <f t="shared" si="24"/>
        <v>194126641.97616839</v>
      </c>
      <c r="V129" s="66">
        <v>98558730.329505891</v>
      </c>
    </row>
    <row r="130" spans="17:22" ht="13.5" customHeight="1" x14ac:dyDescent="0.4">
      <c r="Q130" s="86"/>
      <c r="R130" s="85" t="s">
        <v>287</v>
      </c>
      <c r="S130" s="67" t="s">
        <v>95</v>
      </c>
      <c r="T130" s="67" t="s">
        <v>177</v>
      </c>
      <c r="U130" s="25">
        <f t="shared" si="24"/>
        <v>197409754.26719266</v>
      </c>
      <c r="V130" s="66">
        <v>98851023.937686771</v>
      </c>
    </row>
    <row r="131" spans="17:22" ht="13.5" customHeight="1" x14ac:dyDescent="0.4">
      <c r="Q131" s="86"/>
      <c r="R131" s="85" t="s">
        <v>288</v>
      </c>
      <c r="S131" s="67" t="s">
        <v>95</v>
      </c>
      <c r="T131" s="67" t="s">
        <v>178</v>
      </c>
      <c r="U131" s="25">
        <f t="shared" si="24"/>
        <v>197730613.81749284</v>
      </c>
      <c r="V131" s="66">
        <v>98879589.879806072</v>
      </c>
    </row>
    <row r="132" spans="17:22" ht="13.5" customHeight="1" x14ac:dyDescent="0.4">
      <c r="Q132" s="86"/>
      <c r="R132" s="85" t="s">
        <v>289</v>
      </c>
      <c r="S132" s="67" t="s">
        <v>95</v>
      </c>
      <c r="T132" s="67" t="s">
        <v>179</v>
      </c>
      <c r="U132" s="25">
        <f t="shared" si="24"/>
        <v>247941646.42234281</v>
      </c>
      <c r="V132" s="66">
        <v>149062056.54253674</v>
      </c>
    </row>
    <row r="133" spans="17:22" ht="13.5" customHeight="1" x14ac:dyDescent="0.4">
      <c r="Q133" s="86"/>
      <c r="R133" s="85" t="s">
        <v>290</v>
      </c>
      <c r="S133" s="67" t="s">
        <v>95</v>
      </c>
      <c r="T133" s="67" t="s">
        <v>180</v>
      </c>
      <c r="U133" s="25">
        <f t="shared" si="24"/>
        <v>303589517.98308229</v>
      </c>
      <c r="V133" s="66">
        <v>154527461.44054553</v>
      </c>
    </row>
    <row r="134" spans="17:22" ht="13.5" customHeight="1" x14ac:dyDescent="0.4">
      <c r="Q134" s="86"/>
      <c r="R134" s="85" t="s">
        <v>291</v>
      </c>
      <c r="S134" s="67" t="s">
        <v>95</v>
      </c>
      <c r="T134" s="67" t="s">
        <v>181</v>
      </c>
      <c r="U134" s="25">
        <f t="shared" si="24"/>
        <v>309650163.6630944</v>
      </c>
      <c r="V134" s="66">
        <v>155122702.22254884</v>
      </c>
    </row>
    <row r="135" spans="17:22" ht="13.5" customHeight="1" x14ac:dyDescent="0.4">
      <c r="Q135" s="86"/>
      <c r="R135" s="85" t="s">
        <v>292</v>
      </c>
      <c r="S135" s="67" t="s">
        <v>95</v>
      </c>
      <c r="T135" s="67" t="s">
        <v>182</v>
      </c>
      <c r="U135" s="25">
        <f t="shared" si="24"/>
        <v>310310232.50361705</v>
      </c>
      <c r="V135" s="66">
        <v>155187530.28106818</v>
      </c>
    </row>
    <row r="136" spans="17:22" ht="13.5" customHeight="1" x14ac:dyDescent="0.4">
      <c r="Q136" s="86"/>
      <c r="R136" s="85" t="s">
        <v>293</v>
      </c>
      <c r="S136" s="67" t="s">
        <v>95</v>
      </c>
      <c r="T136" s="67" t="s">
        <v>183</v>
      </c>
      <c r="U136" s="25">
        <f t="shared" si="24"/>
        <v>395274889.50433165</v>
      </c>
      <c r="V136" s="66">
        <v>240087359.22326347</v>
      </c>
    </row>
    <row r="137" spans="17:22" ht="13.5" customHeight="1" x14ac:dyDescent="0.4">
      <c r="Q137" s="86"/>
      <c r="R137" s="85" t="s">
        <v>294</v>
      </c>
      <c r="S137" s="67" t="s">
        <v>95</v>
      </c>
      <c r="T137" s="67" t="s">
        <v>184</v>
      </c>
      <c r="U137" s="25">
        <f t="shared" si="24"/>
        <v>490479012.7822305</v>
      </c>
      <c r="V137" s="66">
        <v>250391653.55896705</v>
      </c>
    </row>
    <row r="138" spans="17:22" ht="13.5" customHeight="1" x14ac:dyDescent="0.4">
      <c r="Q138" s="86"/>
      <c r="R138" s="85" t="s">
        <v>295</v>
      </c>
      <c r="S138" s="67" t="s">
        <v>95</v>
      </c>
      <c r="T138" s="67" t="s">
        <v>185</v>
      </c>
      <c r="U138" s="25">
        <f t="shared" si="24"/>
        <v>502033939.57597011</v>
      </c>
      <c r="V138" s="66">
        <v>251642286.01700306</v>
      </c>
    </row>
    <row r="139" spans="17:22" ht="13.5" customHeight="1" x14ac:dyDescent="0.4">
      <c r="Q139" s="86"/>
      <c r="R139" s="85" t="s">
        <v>296</v>
      </c>
      <c r="S139" s="67" t="s">
        <v>95</v>
      </c>
      <c r="T139" s="67" t="s">
        <v>186</v>
      </c>
      <c r="U139" s="25">
        <f t="shared" si="24"/>
        <v>503436361.32632804</v>
      </c>
      <c r="V139" s="66">
        <v>251794075.30932495</v>
      </c>
    </row>
    <row r="140" spans="17:22" ht="13.5" customHeight="1" x14ac:dyDescent="0.4">
      <c r="Q140" s="86"/>
      <c r="R140" s="85" t="s">
        <v>297</v>
      </c>
      <c r="S140" s="67" t="s">
        <v>95</v>
      </c>
      <c r="T140" s="67" t="s">
        <v>187</v>
      </c>
      <c r="U140" s="25">
        <f t="shared" si="24"/>
        <v>652115596.19859791</v>
      </c>
      <c r="V140" s="66">
        <v>400321520.88927293</v>
      </c>
    </row>
    <row r="141" spans="17:22" ht="13.5" customHeight="1" x14ac:dyDescent="0.4">
      <c r="Q141" s="86"/>
      <c r="R141" s="85" t="s">
        <v>298</v>
      </c>
      <c r="S141" s="67" t="s">
        <v>95</v>
      </c>
      <c r="T141" s="67" t="s">
        <v>188</v>
      </c>
      <c r="U141" s="25">
        <f t="shared" si="24"/>
        <v>820732085.11924446</v>
      </c>
      <c r="V141" s="66">
        <v>420410564.22997153</v>
      </c>
    </row>
    <row r="142" spans="17:22" ht="13.5" customHeight="1" x14ac:dyDescent="0.4">
      <c r="Q142" s="86"/>
      <c r="R142" s="85" t="s">
        <v>299</v>
      </c>
      <c r="S142" s="67" t="s">
        <v>95</v>
      </c>
      <c r="T142" s="67" t="s">
        <v>189</v>
      </c>
      <c r="U142" s="25">
        <f t="shared" si="24"/>
        <v>843538267.10572433</v>
      </c>
      <c r="V142" s="66">
        <v>423127702.87575287</v>
      </c>
    </row>
    <row r="143" spans="17:22" ht="13.5" customHeight="1" x14ac:dyDescent="0.4">
      <c r="Q143" s="86"/>
      <c r="R143" s="85" t="s">
        <v>300</v>
      </c>
      <c r="S143" s="67" t="s">
        <v>95</v>
      </c>
      <c r="T143" s="67" t="s">
        <v>190</v>
      </c>
      <c r="U143" s="25">
        <f t="shared" si="24"/>
        <v>846622911.67476892</v>
      </c>
      <c r="V143" s="66">
        <v>423495208.79901612</v>
      </c>
    </row>
  </sheetData>
  <mergeCells count="1">
    <mergeCell ref="U15:Y15"/>
  </mergeCells>
  <phoneticPr fontId="3" type="noConversion"/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배당재투자계산기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백현정</dc:creator>
  <cp:lastModifiedBy>백현정</cp:lastModifiedBy>
  <dcterms:created xsi:type="dcterms:W3CDTF">2026-04-19T08:40:20Z</dcterms:created>
  <dcterms:modified xsi:type="dcterms:W3CDTF">2026-04-19T10:10:02Z</dcterms:modified>
</cp:coreProperties>
</file>